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’emploi" sheetId="1" state="visible" r:id="rId1"/>
    <sheet name="Règle du lundi (solde)" sheetId="2" state="visible" r:id="rId2"/>
    <sheet name="Règle du lundi (retards)" sheetId="3" state="visible" r:id="rId3"/>
    <sheet name="Relances clients" sheetId="4" state="visible" r:id="rId4"/>
    <sheet name="Modèles de relance" sheetId="5" state="visible" r:id="rId5"/>
    <sheet name="Exemple fictif" sheetId="6" state="visible" r:id="rId6"/>
  </sheets>
  <definedNames>
    <definedName name="_xlnm.Print_Area" localSheetId="0">'Mode d’emploi'!$A$1:$D$27</definedName>
    <definedName name="_xlnm.Print_Titles" localSheetId="1">'Règle du lundi (solde)'!$11:$11</definedName>
    <definedName name="_xlnm.Print_Area" localSheetId="1">'Règle du lundi (solde)'!$A$1:$M$63</definedName>
    <definedName name="_xlnm.Print_Titles" localSheetId="2">'Règle du lundi (retards)'!$9:$9</definedName>
    <definedName name="_xlnm.Print_Area" localSheetId="2">'Règle du lundi (retards)'!$A$1:$I$269</definedName>
    <definedName name="_xlnm.Print_Titles" localSheetId="3">'Relances clients'!$19:$19</definedName>
    <definedName name="_xlnm.Print_Area" localSheetId="3">'Relances clients'!$A$1:$O$119</definedName>
    <definedName name="_xlnm.Print_Area" localSheetId="4">'Modèles de relance'!$A$1:$D$44</definedName>
    <definedName name="_xlnm.Print_Area" localSheetId="5">'Exemple fictif'!$A$1:$O$122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#,##0;-#,##0;&quot;-&quot;"/>
    <numFmt numFmtId="166" formatCode="+#,##0;-#,##0;0"/>
    <numFmt numFmtId="167" formatCode="#,##0&quot; €&quot;"/>
    <numFmt numFmtId="168" formatCode="&quot;J+&quot;0;&quot;J-&quot;0;&quot;J&quot;"/>
    <numFmt numFmtId="169" formatCode="#,##0.00;-#,##0.00;&quot;-&quot;"/>
  </numFmts>
  <fonts count="19">
    <font>
      <name val="Calibri"/>
      <family val="2"/>
      <color theme="1"/>
      <sz val="11"/>
      <scheme val="minor"/>
    </font>
    <font>
      <name val="Arial"/>
      <color rgb="002B2B2B"/>
      <sz val="10"/>
    </font>
    <font>
      <name val="Arial"/>
      <b val="1"/>
      <color rgb="002B2B2B"/>
      <sz val="18"/>
    </font>
    <font>
      <name val="Arial"/>
      <color rgb="0057534E"/>
      <sz val="9"/>
    </font>
    <font>
      <name val="Arial"/>
      <b val="1"/>
      <color rgb="002B2B2B"/>
      <sz val="11"/>
    </font>
    <font>
      <name val="Arial"/>
      <b val="1"/>
      <color rgb="00B23620"/>
      <sz val="10"/>
    </font>
    <font>
      <name val="Arial"/>
      <b val="1"/>
      <color rgb="002B2B2B"/>
      <sz val="16"/>
    </font>
    <font>
      <name val="Arial"/>
      <color rgb="0057534E"/>
      <sz val="10"/>
    </font>
    <font>
      <name val="Arial"/>
      <i val="1"/>
      <color rgb="0057534E"/>
      <sz val="8.5"/>
    </font>
    <font>
      <name val="Arial"/>
      <color rgb="002B2B2B"/>
      <sz val="9"/>
    </font>
    <font>
      <name val="Arial"/>
      <b val="1"/>
      <color rgb="00B23620"/>
      <sz val="9"/>
    </font>
    <font>
      <name val="Arial"/>
      <b val="1"/>
      <color rgb="00EEEAE6"/>
      <sz val="9"/>
    </font>
    <font>
      <name val="Arial"/>
      <b val="1"/>
      <color rgb="002B2B2B"/>
      <sz val="10"/>
    </font>
    <font>
      <name val="Arial"/>
      <i val="1"/>
      <color rgb="0057534E"/>
      <sz val="8"/>
    </font>
    <font>
      <name val="Arial"/>
      <b val="1"/>
      <color rgb="002B2B2B"/>
      <sz val="9"/>
    </font>
    <font>
      <name val="Arial"/>
      <b val="1"/>
      <color rgb="00EEEAE6"/>
      <sz val="10"/>
    </font>
    <font>
      <name val="Arial"/>
      <b val="1"/>
      <color rgb="0057534E"/>
      <sz val="10"/>
    </font>
    <font>
      <name val="Arial"/>
      <color rgb="00B23620"/>
      <sz val="10"/>
    </font>
    <font>
      <name val="Arial"/>
      <b val="1"/>
      <color rgb="00EEEAE6"/>
      <sz val="11"/>
    </font>
  </fonts>
  <fills count="6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EEEAE6"/>
        <bgColor rgb="00EEEAE6"/>
      </patternFill>
    </fill>
    <fill>
      <patternFill patternType="solid">
        <fgColor rgb="002B2B2B"/>
        <bgColor rgb="002B2B2B"/>
      </patternFill>
    </fill>
    <fill>
      <patternFill patternType="solid">
        <fgColor rgb="00C9C4BF"/>
        <bgColor rgb="00C9C4BF"/>
      </patternFill>
    </fill>
  </fills>
  <borders count="9">
    <border>
      <left/>
      <right/>
      <top/>
      <bottom/>
      <diagonal/>
    </border>
    <border>
      <bottom style="thin">
        <color rgb="002B2B2B"/>
      </bottom>
    </border>
    <border/>
    <border>
      <left style="thin">
        <color rgb="007E7973"/>
      </left>
      <right style="thin">
        <color rgb="007E7973"/>
      </right>
      <top style="thin">
        <color rgb="007E7973"/>
      </top>
      <bottom style="thin">
        <color rgb="007E7973"/>
      </bottom>
    </border>
    <border>
      <left style="thin">
        <color rgb="00D3CDC7"/>
      </left>
      <right style="thin">
        <color rgb="00D3CDC7"/>
      </right>
      <top style="thin">
        <color rgb="00D3CDC7"/>
      </top>
      <bottom style="thin">
        <color rgb="00D3CDC7"/>
      </bottom>
    </border>
    <border>
      <left style="thin">
        <color rgb="002B2B2B"/>
      </left>
      <right style="thin">
        <color rgb="002B2B2B"/>
      </right>
      <top style="thin">
        <color rgb="002B2B2B"/>
      </top>
      <bottom style="thin">
        <color rgb="002B2B2B"/>
      </bottom>
    </border>
    <border>
      <left style="thin">
        <color rgb="00D3CDC7"/>
      </left>
      <right style="thin">
        <color rgb="00D3CDC7"/>
      </right>
      <top style="thin">
        <color rgb="002B2B2B"/>
      </top>
      <bottom style="thin">
        <color rgb="00D3CDC7"/>
      </bottom>
    </border>
    <border>
      <left style="thin">
        <color rgb="007E7973"/>
      </left>
      <right style="thin">
        <color rgb="007E7973"/>
      </right>
      <top style="thin">
        <color rgb="002B2B2B"/>
      </top>
      <bottom style="thin">
        <color rgb="007E7973"/>
      </bottom>
    </border>
    <border>
      <left style="thin">
        <color rgb="007E7973"/>
      </left>
    </border>
  </borders>
  <cellStyleXfs count="1">
    <xf numFmtId="0" fontId="1" fillId="0" borderId="0"/>
  </cellStyleXfs>
  <cellXfs count="65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5" fillId="2" borderId="2" applyAlignment="1" pivotButton="0" quotePrefix="0" xfId="0">
      <alignment horizontal="center" vertical="top"/>
    </xf>
    <xf numFmtId="0" fontId="1" fillId="0" borderId="0" applyAlignment="1" pivotButton="0" quotePrefix="0" xfId="0">
      <alignment horizontal="left" vertical="top" wrapText="1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 wrapText="1"/>
    </xf>
    <xf numFmtId="0" fontId="1" fillId="3" borderId="4" applyAlignment="1" pivotButton="0" quotePrefix="0" xfId="0">
      <alignment horizontal="right"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/>
    </xf>
    <xf numFmtId="0" fontId="1" fillId="2" borderId="3" applyAlignment="1" applyProtection="1" pivotButton="0" quotePrefix="0" xfId="0">
      <alignment horizontal="left" vertical="center"/>
      <protection locked="0" hidden="0"/>
    </xf>
    <xf numFmtId="0" fontId="1" fillId="0" borderId="0" applyAlignment="1" pivotButton="0" quotePrefix="0" xfId="0">
      <alignment horizontal="right" vertical="center"/>
    </xf>
    <xf numFmtId="164" fontId="12" fillId="3" borderId="4" applyAlignment="1" pivotButton="0" quotePrefix="0" xfId="0">
      <alignment horizontal="right" vertical="center"/>
    </xf>
    <xf numFmtId="164" fontId="1" fillId="2" borderId="3" applyAlignment="1" applyProtection="1" pivotButton="0" quotePrefix="0" xfId="0">
      <alignment horizontal="right" vertical="center"/>
      <protection locked="0" hidden="0"/>
    </xf>
    <xf numFmtId="0" fontId="8" fillId="0" borderId="0" applyAlignment="1" pivotButton="0" quotePrefix="0" xfId="0">
      <alignment horizontal="left" vertical="center"/>
    </xf>
    <xf numFmtId="165" fontId="12" fillId="3" borderId="4" applyAlignment="1" pivotButton="0" quotePrefix="0" xfId="0">
      <alignment horizontal="right" vertical="center"/>
    </xf>
    <xf numFmtId="164" fontId="1" fillId="3" borderId="4" applyAlignment="1" pivotButton="0" quotePrefix="0" xfId="0">
      <alignment horizontal="right" vertical="center"/>
    </xf>
    <xf numFmtId="1" fontId="12" fillId="3" borderId="4" applyAlignment="1" pivotButton="0" quotePrefix="0" xfId="0">
      <alignment horizontal="right" vertical="center"/>
    </xf>
    <xf numFmtId="165" fontId="1" fillId="2" borderId="3" applyAlignment="1" applyProtection="1" pivotButton="0" quotePrefix="0" xfId="0">
      <alignment horizontal="right" vertical="center"/>
      <protection locked="0" hidden="0"/>
    </xf>
    <xf numFmtId="0" fontId="12" fillId="3" borderId="4" applyAlignment="1" pivotButton="0" quotePrefix="0" xfId="0">
      <alignment horizontal="right" vertical="center"/>
    </xf>
    <xf numFmtId="1" fontId="1" fillId="2" borderId="3" applyAlignment="1" applyProtection="1" pivotButton="0" quotePrefix="0" xfId="0">
      <alignment horizontal="right" vertical="center"/>
      <protection locked="0" hidden="0"/>
    </xf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center" vertical="center"/>
    </xf>
    <xf numFmtId="0" fontId="11" fillId="4" borderId="5" applyAlignment="1" pivotButton="0" quotePrefix="0" xfId="0">
      <alignment horizontal="left" vertical="center" wrapText="1"/>
    </xf>
    <xf numFmtId="0" fontId="0" fillId="4" borderId="5" pivotButton="0" quotePrefix="0" xfId="0"/>
    <xf numFmtId="164" fontId="1" fillId="3" borderId="4" applyAlignment="1" pivotButton="0" quotePrefix="0" xfId="0">
      <alignment horizontal="left" vertical="center"/>
    </xf>
    <xf numFmtId="166" fontId="1" fillId="3" borderId="4" applyAlignment="1" pivotButton="0" quotePrefix="0" xfId="0">
      <alignment horizontal="right" vertical="center"/>
    </xf>
    <xf numFmtId="1" fontId="1" fillId="3" borderId="4" applyAlignment="1" pivotButton="0" quotePrefix="0" xfId="0">
      <alignment horizontal="center" vertical="center"/>
    </xf>
    <xf numFmtId="0" fontId="12" fillId="3" borderId="4" applyAlignment="1" pivotButton="0" quotePrefix="0" xfId="0">
      <alignment horizontal="left" vertical="center"/>
    </xf>
    <xf numFmtId="165" fontId="1" fillId="3" borderId="4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wrapText="1"/>
    </xf>
    <xf numFmtId="164" fontId="1" fillId="3" borderId="6" applyAlignment="1" pivotButton="0" quotePrefix="0" xfId="0">
      <alignment horizontal="left" vertical="top"/>
    </xf>
    <xf numFmtId="0" fontId="1" fillId="2" borderId="7" applyAlignment="1" applyProtection="1" pivotButton="0" quotePrefix="0" xfId="0">
      <alignment horizontal="left" vertical="center"/>
      <protection locked="0" hidden="0"/>
    </xf>
    <xf numFmtId="165" fontId="1" fillId="2" borderId="7" applyAlignment="1" applyProtection="1" pivotButton="0" quotePrefix="0" xfId="0">
      <alignment horizontal="right" vertical="center"/>
      <protection locked="0" hidden="0"/>
    </xf>
    <xf numFmtId="1" fontId="1" fillId="2" borderId="7" applyAlignment="1" applyProtection="1" pivotButton="0" quotePrefix="0" xfId="0">
      <alignment horizontal="right" vertical="center"/>
      <protection locked="0" hidden="0"/>
    </xf>
    <xf numFmtId="1" fontId="1" fillId="3" borderId="6" applyAlignment="1" pivotButton="0" quotePrefix="0" xfId="0">
      <alignment horizontal="center" vertical="center"/>
    </xf>
    <xf numFmtId="0" fontId="1" fillId="3" borderId="6" applyAlignment="1" pivotButton="0" quotePrefix="0" xfId="0">
      <alignment horizontal="left" vertical="center"/>
    </xf>
    <xf numFmtId="0" fontId="1" fillId="3" borderId="4" applyAlignment="1" pivotButton="0" quotePrefix="0" xfId="0">
      <alignment horizontal="left" vertical="center"/>
    </xf>
    <xf numFmtId="0" fontId="11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168" fontId="1" fillId="2" borderId="3" applyAlignment="1" applyProtection="1" pivotButton="0" quotePrefix="0" xfId="0">
      <alignment horizontal="center" vertical="center"/>
      <protection locked="0" hidden="0"/>
    </xf>
    <xf numFmtId="10" fontId="1" fillId="2" borderId="3" applyAlignment="1" applyProtection="1" pivotButton="0" quotePrefix="0" xfId="0">
      <alignment horizontal="right" vertical="center"/>
      <protection locked="0" hidden="0"/>
    </xf>
    <xf numFmtId="169" fontId="12" fillId="3" borderId="4" applyAlignment="1" pivotButton="0" quotePrefix="0" xfId="0">
      <alignment horizontal="right" vertical="center"/>
    </xf>
    <xf numFmtId="167" fontId="1" fillId="2" borderId="3" applyAlignment="1" applyProtection="1" pivotButton="0" quotePrefix="0" xfId="0">
      <alignment horizontal="right" vertical="center"/>
      <protection locked="0" hidden="0"/>
    </xf>
    <xf numFmtId="0" fontId="13" fillId="0" borderId="0" applyAlignment="1" pivotButton="0" quotePrefix="0" xfId="0">
      <alignment horizontal="left" vertical="top" wrapText="1"/>
    </xf>
    <xf numFmtId="0" fontId="11" fillId="4" borderId="0" applyAlignment="1" pivotButton="0" quotePrefix="0" xfId="0">
      <alignment horizontal="left" vertical="center" wrapText="1" indent="1"/>
    </xf>
    <xf numFmtId="0" fontId="14" fillId="0" borderId="1" applyAlignment="1" pivotButton="0" quotePrefix="0" xfId="0">
      <alignment horizontal="left" vertical="bottom" wrapText="1"/>
    </xf>
    <xf numFmtId="0" fontId="1" fillId="2" borderId="4" applyAlignment="1" pivotButton="0" quotePrefix="0" xfId="0">
      <alignment horizontal="left" vertical="center"/>
    </xf>
    <xf numFmtId="165" fontId="12" fillId="2" borderId="4" applyAlignment="1" pivotButton="0" quotePrefix="0" xfId="0">
      <alignment horizontal="right" vertical="center"/>
    </xf>
    <xf numFmtId="1" fontId="1" fillId="2" borderId="4" applyAlignment="1" pivotButton="0" quotePrefix="0" xfId="0">
      <alignment horizontal="center" vertical="center"/>
    </xf>
    <xf numFmtId="0" fontId="12" fillId="3" borderId="4" applyAlignment="1" pivotButton="0" quotePrefix="0" xfId="0">
      <alignment horizontal="center" vertical="center"/>
    </xf>
    <xf numFmtId="169" fontId="1" fillId="3" borderId="4" applyAlignment="1" pivotButton="0" quotePrefix="0" xfId="0">
      <alignment horizontal="right" vertical="center"/>
    </xf>
    <xf numFmtId="0" fontId="15" fillId="4" borderId="0" applyAlignment="1" pivotButton="0" quotePrefix="0" xfId="0">
      <alignment horizontal="left" vertical="center" indent="1"/>
    </xf>
    <xf numFmtId="0" fontId="16" fillId="0" borderId="0" applyAlignment="1" pivotButton="0" quotePrefix="0" xfId="0">
      <alignment horizontal="left" vertical="top"/>
    </xf>
    <xf numFmtId="0" fontId="12" fillId="2" borderId="3" applyAlignment="1" applyProtection="1" pivotButton="0" quotePrefix="0" xfId="0">
      <alignment horizontal="left" vertical="top" wrapText="1"/>
      <protection locked="0" hidden="0"/>
    </xf>
    <xf numFmtId="0" fontId="1" fillId="2" borderId="8" applyAlignment="1" applyProtection="1" pivotButton="0" quotePrefix="0" xfId="0">
      <alignment horizontal="left" vertical="top" wrapText="1"/>
      <protection locked="0" hidden="0"/>
    </xf>
    <xf numFmtId="0" fontId="17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center" vertical="top"/>
    </xf>
    <xf numFmtId="0" fontId="12" fillId="5" borderId="0" applyAlignment="1" pivotButton="0" quotePrefix="0" xfId="0">
      <alignment horizontal="left" vertical="center" wrapText="1"/>
    </xf>
    <xf numFmtId="0" fontId="0" fillId="5" borderId="0" pivotButton="0" quotePrefix="0" xfId="0"/>
    <xf numFmtId="0" fontId="18" fillId="4" borderId="0" applyAlignment="1" pivotButton="0" quotePrefix="0" xfId="0">
      <alignment horizontal="left" vertical="center" indent="1"/>
    </xf>
  </cellXfs>
  <cellStyles count="1">
    <cellStyle name="Normal" xfId="0" builtinId="0" hidden="0"/>
  </cellStyles>
  <dxfs count="2">
    <dxf>
      <font>
        <b val="1"/>
        <color rgb="00B23620"/>
      </font>
    </dxf>
    <dxf>
      <fill>
        <patternFill patternType="solid">
          <fgColor rgb="00C9C4BF"/>
          <bgColor rgb="00C9C4B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27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04" customWidth="1" min="3" max="3"/>
    <col width="10" customWidth="1" min="4" max="4"/>
  </cols>
  <sheetData>
    <row r="1" ht="30" customHeight="1">
      <c r="B1" s="1" t="inlineStr">
        <is>
          <t>La trésorerie sous contrôle</t>
        </is>
      </c>
    </row>
    <row r="2">
      <c r="B2" s="2" t="inlineStr">
        <is>
          <t>Module offert par THG Conseil · Tudor Hilcu, fondateur et dirigeant de THG Conseil · thgconseil.fr</t>
        </is>
      </c>
    </row>
    <row r="3" ht="9" customHeight="1"/>
    <row r="4" ht="20" customHeight="1">
      <c r="B4" s="3" t="inlineStr">
        <is>
          <t>Quoi remplir, dans quel ordre (une heure la première fois, puis dix minutes le lundi)</t>
        </is>
      </c>
      <c r="C4" s="4" t="n"/>
    </row>
    <row r="5" ht="16.7" customHeight="1">
      <c r="B5" s="5" t="n">
        <v>1</v>
      </c>
      <c r="C5" s="6" t="inlineStr">
        <is>
          <t>Onglet « Règle du lundi (solde) » : saisissez une fois le premier lundi suivi et, si vous en avez un, votre seuil de sécurité.</t>
        </is>
      </c>
    </row>
    <row r="6" ht="29.4" customHeight="1">
      <c r="B6" s="5" t="n">
        <v>2</v>
      </c>
      <c r="C6" s="6" t="inlineStr">
        <is>
          <t>Chaque lundi matin, additionnez le solde de tous vos comptes bancaires et saisissez-le sur la ligne du jour. Le classeur calcule la variation et compte les baisses de suite.</t>
        </is>
      </c>
    </row>
    <row r="7" ht="29.4" customHeight="1">
      <c r="B7" s="5" t="n">
        <v>3</v>
      </c>
      <c r="C7" s="6" t="inlineStr">
        <is>
          <t>Onglet « Relances clients » : une ligne par facture envoyée (numéro, client, montant TTC, échéance), puis la date de paiement quand l’argent arrive.</t>
        </is>
      </c>
    </row>
    <row r="8" ht="16.7" customHeight="1">
      <c r="B8" s="5" t="n">
        <v>4</v>
      </c>
      <c r="C8" s="6" t="inlineStr">
        <is>
          <t>Chaque lundi, recopiez les cinq plus gros retards affichés en haut de cet onglet dans l’onglet « Règle du lundi (retards) ».</t>
        </is>
      </c>
    </row>
    <row r="9" ht="29.4" customHeight="1">
      <c r="B9" s="5" t="n">
        <v>5</v>
      </c>
      <c r="C9" s="6" t="inlineStr">
        <is>
          <t>Faites les relances signalées « À faire » avec les messages de l’onglet « Modèles de relance », puis notez l’étape faite et sa date.</t>
        </is>
      </c>
    </row>
    <row r="10" ht="29.4" customHeight="1">
      <c r="B10" s="5" t="n">
        <v>6</v>
      </c>
      <c r="C10" s="6" t="inlineStr">
        <is>
          <t>Une alerte rouge (trois baisses de suite, solde sous le seuil, client qui revient trois lundis) appelle une décision le jour même : notez-la.</t>
        </is>
      </c>
    </row>
    <row r="11" ht="16.7" customHeight="1">
      <c r="B11" s="5" t="n">
        <v>7</v>
      </c>
      <c r="C11" s="6" t="inlineStr">
        <is>
          <t>L’onglet « Exemple fictif » montre douze lundis remplis avec des chiffres inventés.</t>
        </is>
      </c>
    </row>
    <row r="12" ht="9" customHeight="1"/>
    <row r="13" ht="20" customHeight="1">
      <c r="B13" s="3" t="inlineStr">
        <is>
          <t>Les cellules</t>
        </is>
      </c>
      <c r="C13" s="4" t="n"/>
    </row>
    <row r="14" ht="16.7" customHeight="1">
      <c r="B14" s="7" t="n"/>
      <c r="C14" s="8" t="inlineStr">
        <is>
          <t>Cellule à saisir : dates, montants, clients, actions.</t>
        </is>
      </c>
    </row>
    <row r="15" ht="16.7" customHeight="1">
      <c r="B15" s="9" t="n"/>
      <c r="C15" s="8" t="inlineStr">
        <is>
          <t>Cellule calculée : protégée, elle se met à jour seule.</t>
        </is>
      </c>
    </row>
    <row r="16" ht="16.7" customHeight="1">
      <c r="B16" s="10" t="inlineStr">
        <is>
          <t>Rouge</t>
        </is>
      </c>
      <c r="C16" s="8" t="inlineStr">
        <is>
          <t>Alerte : trois baisses de suite, solde sous le seuil, client qui revient, relance à faire.</t>
        </is>
      </c>
    </row>
    <row r="17" ht="9" customHeight="1"/>
    <row r="18" ht="20" customHeight="1">
      <c r="B18" s="3" t="inlineStr">
        <is>
          <t>Les règles de droit utilisées</t>
        </is>
      </c>
      <c r="C18" s="4" t="n"/>
    </row>
    <row r="19" ht="54.8" customHeight="1">
      <c r="C19" s="6" t="inlineStr">
        <is>
          <t>Pénalités de retard et indemnité forfaitaire : Code de commerce, articles L441-10 (II) et D441-5, vérifiés sur Légifrance le 8 octobre 2026. Taux par défaut : 12,40 % par an pour le second semestre 2026 (taux de la BCE au 1er juillet 2026, 2,40 %, majoré de 10 points). Indemnité : 40 € par facture payée en retard. Ces règles valent entre professionnels ; vos CGV et vos contrats fixent le taux qui s’applique à vous : regardez-les d’abord.</t>
        </is>
      </c>
    </row>
    <row r="20" ht="9" customHeight="1"/>
    <row r="21" ht="20" customHeight="1">
      <c r="B21" s="3" t="inlineStr">
        <is>
          <t>Avec votre avocat et votre expert-comptable</t>
        </is>
      </c>
      <c r="C21" s="4" t="n"/>
    </row>
    <row r="22" ht="42.1" customHeight="1">
      <c r="C22" s="6" t="inlineStr">
        <is>
          <t>Ce classeur est un outil de pilotage. Il ne remplace ni votre comptabilité ni un avis sur un dossier précis. Avant de réclamer des pénalités à un client important ou d’envoyer une mise en demeure, avancez avec votre avocat et votre expert-comptable.</t>
        </is>
      </c>
    </row>
    <row r="23" ht="9" customHeight="1"/>
    <row r="24" ht="20" customHeight="1">
      <c r="B24" s="3" t="inlineStr">
        <is>
          <t>Le module complet</t>
        </is>
      </c>
      <c r="C24" s="4" t="n"/>
    </row>
    <row r="25" ht="42.1" customHeight="1">
      <c r="C25" s="6" t="inlineStr">
        <is>
          <t>Le plan de trésorerie à 13 semaines (fichier joint) regarde devant : il prévoit les entrées et les sorties semaine par semaine. Ce classeur regarde le réel : le solde du lundi, les retards, les relances. Les deux ensemble prennent dix minutes le lundi et une demi-heure le vendredi.</t>
        </is>
      </c>
    </row>
    <row r="26" ht="16.7" customHeight="1">
      <c r="C26" s="6" t="inlineStr">
        <is>
          <t>thgconseil.fr/contact · 06 74 86 88 70 · contact@thgconseil.fr</t>
        </is>
      </c>
    </row>
    <row r="27" ht="16.7" customHeight="1">
      <c r="C27" s="6" t="inlineStr">
        <is>
          <t>Tudor Hilcu, fondateur et dirigeant de THG Conseil. PMP®, PRINCE2 Agile®, ITIL® 4. Module version 1.0, octobre 2026.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7">
    <mergeCell ref="B13:C13"/>
    <mergeCell ref="B21:C21"/>
    <mergeCell ref="B2:C2"/>
    <mergeCell ref="B24:C24"/>
    <mergeCell ref="B18:C18"/>
    <mergeCell ref="B1:C1"/>
    <mergeCell ref="B4:C4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&amp;L&amp;"Arial,Regular"&amp;8 &amp;K57534ETudor Hilcu, par THG Conseil · thgconseil.fr&amp;C&amp;"Arial,Regular"&amp;8 &amp;K57534E&amp;R&amp;"Arial,Regular"&amp;8 &amp;K57534E&amp;P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63"/>
  <sheetViews>
    <sheetView showGridLines="0" zoomScale="10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2" customWidth="1" min="4" max="4"/>
    <col width="12" customWidth="1" min="5" max="5"/>
    <col width="18" customWidth="1" min="6" max="6"/>
    <col width="11" customWidth="1" min="7" max="7"/>
    <col width="20" customWidth="1" min="8" max="8"/>
    <col width="12" customWidth="1" min="9" max="9"/>
    <col width="24" customWidth="1" min="10" max="10"/>
    <col width="12" customWidth="1" min="11" max="11"/>
    <col width="10" customWidth="1" min="12" max="12"/>
    <col width="13" customWidth="1" min="13" max="13"/>
    <col width="12" customWidth="1" min="14" max="14"/>
    <col width="24" customWidth="1" min="15" max="15"/>
    <col hidden="1" width="10" customWidth="1" min="16" max="16"/>
    <col hidden="1" width="10" customWidth="1" min="17" max="17"/>
    <col hidden="1" width="10" customWidth="1" min="18" max="18"/>
    <col hidden="1" width="10" customWidth="1" min="19" max="19"/>
    <col hidden="1" width="10" customWidth="1" min="20" max="20"/>
    <col hidden="1" width="10" customWidth="1" min="21" max="21"/>
    <col hidden="1" width="10" customWidth="1" min="22" max="22"/>
  </cols>
  <sheetData>
    <row r="1" ht="26" customHeight="1">
      <c r="A1" s="11" t="inlineStr">
        <is>
          <t>La règle du lundi : le solde</t>
        </is>
      </c>
    </row>
    <row r="2" ht="16.7" customHeight="1">
      <c r="A2" s="12" t="inlineStr">
        <is>
          <t>Chaque lundi matin, additionnez le solde de tous vos comptes bancaires et saisissez-le sur la ligne du jour. Le classeur fait le reste.</t>
        </is>
      </c>
    </row>
    <row r="3" ht="8" customHeight="1"/>
    <row r="4">
      <c r="A4" s="13" t="inlineStr">
        <is>
          <t>Société</t>
        </is>
      </c>
      <c r="C4" s="14" t="n"/>
      <c r="D4" s="14" t="n"/>
      <c r="E4" s="14" t="n"/>
      <c r="G4" s="15" t="inlineStr">
        <is>
          <t>Dernier lundi saisi</t>
        </is>
      </c>
      <c r="J4" s="16">
        <f>IF(MAX($U$12:$U$63)=0,"-",INDEX($A$12:$A$63,MAX($U$12:$U$63)))</f>
        <v/>
      </c>
    </row>
    <row r="5">
      <c r="A5" s="13" t="inlineStr">
        <is>
          <t>Premier lundi suivi</t>
        </is>
      </c>
      <c r="C5" s="17" t="n"/>
      <c r="D5" s="18" t="inlineStr">
        <is>
          <t>Tout jour de la semaine : ramené au lundi.</t>
        </is>
      </c>
      <c r="G5" s="15" t="inlineStr">
        <is>
          <t>Dernier solde</t>
        </is>
      </c>
      <c r="J5" s="19">
        <f>IF(MAX($U$12:$U$63)=0,"-",INDEX($B$12:$B$63,MAX($U$12:$U$63)))</f>
        <v/>
      </c>
    </row>
    <row r="6">
      <c r="A6" s="13" t="inlineStr">
        <is>
          <t>Lundi retenu (calculé)</t>
        </is>
      </c>
      <c r="C6" s="20">
        <f>IF($C$5="","",$C$5-WEEKDAY($C$5,2)+1)</f>
        <v/>
      </c>
      <c r="G6" s="15" t="inlineStr">
        <is>
          <t>Baisses de suite à ce jour</t>
        </is>
      </c>
      <c r="J6" s="21">
        <f>IF(MAX($U$12:$U$63)=0,"-",INDEX($D$12:$D$63,MAX($U$12:$U$63)))</f>
        <v/>
      </c>
    </row>
    <row r="7">
      <c r="A7" s="13" t="inlineStr">
        <is>
          <t>Seuil de sécurité (facultatif)</t>
        </is>
      </c>
      <c r="C7" s="22" t="n"/>
      <c r="D7" s="18" t="inlineStr">
        <is>
          <t>Le solde passe en rouge en dessous de ce montant.</t>
        </is>
      </c>
      <c r="G7" s="15" t="inlineStr">
        <is>
          <t>Alerte du dernier lundi</t>
        </is>
      </c>
      <c r="J7" s="23">
        <f>IF(MAX($U$12:$U$63)=0,"-",IF(INDEX($E$12:$E$63,MAX($U$12:$U$63))="","Aucune",INDEX($E$12:$E$63,MAX($U$12:$U$63))))</f>
        <v/>
      </c>
    </row>
    <row r="8">
      <c r="A8" s="13" t="inlineStr">
        <is>
          <t>Alerte après combien de baisses de suite</t>
        </is>
      </c>
      <c r="C8" s="24" t="n">
        <v>3</v>
      </c>
      <c r="D8" s="18" t="inlineStr">
        <is>
          <t>La règle du lundi : 3.</t>
        </is>
      </c>
      <c r="G8" s="15" t="inlineStr">
        <is>
          <t>Retards du dernier lundi (5 plus gros)</t>
        </is>
      </c>
      <c r="J8" s="19">
        <f>IF(MAX($U$12:$U$63)=0,"-",IF(INDEX($G$12:$G$63,MAX($U$12:$U$63))="","-",INDEX($G$12:$G$63,MAX($U$12:$U$63))))</f>
        <v/>
      </c>
    </row>
    <row r="9">
      <c r="A9" s="7" t="n"/>
      <c r="B9" s="25" t="inlineStr">
        <is>
          <t>À saisir</t>
        </is>
      </c>
      <c r="C9" s="9" t="n"/>
      <c r="D9" s="25" t="inlineStr">
        <is>
          <t>Calculé</t>
        </is>
      </c>
      <c r="E9" s="26" t="inlineStr">
        <is>
          <t>Rouge</t>
        </is>
      </c>
      <c r="F9" s="25" t="inlineStr">
        <is>
          <t>Alerte</t>
        </is>
      </c>
    </row>
    <row r="10" ht="6" customHeight="1"/>
    <row r="11" ht="42" customHeight="1">
      <c r="A11" s="27" t="inlineStr">
        <is>
          <t>Lundi</t>
        </is>
      </c>
      <c r="B11" s="27" t="inlineStr">
        <is>
          <t>Solde de tous les comptes</t>
        </is>
      </c>
      <c r="C11" s="27" t="inlineStr">
        <is>
          <t>Variation sur le lundi d’avant</t>
        </is>
      </c>
      <c r="D11" s="27" t="inlineStr">
        <is>
          <t>Baisses de suite</t>
        </is>
      </c>
      <c r="E11" s="27" t="inlineStr">
        <is>
          <t>Alerte</t>
        </is>
      </c>
      <c r="F11" s="28" t="n"/>
      <c r="G11" s="27" t="inlineStr">
        <is>
          <t>Retards : total des 5 plus gros</t>
        </is>
      </c>
      <c r="H11" s="27" t="inlineStr">
        <is>
          <t>Variation des retards</t>
        </is>
      </c>
      <c r="I11" s="27" t="inlineStr">
        <is>
          <t>Clients qui reviennent</t>
        </is>
      </c>
      <c r="J11" s="27" t="inlineStr">
        <is>
          <t>Décision ou commentaire</t>
        </is>
      </c>
      <c r="K11" s="28" t="n"/>
      <c r="L11" s="28" t="n"/>
      <c r="M11" s="28" t="n"/>
    </row>
    <row r="12" ht="16" customHeight="1">
      <c r="A12" s="29">
        <f>IF($C$6="","",$C$6+0)</f>
        <v/>
      </c>
      <c r="B12" s="22" t="n"/>
      <c r="C12" s="30" t="n"/>
      <c r="D12" s="31">
        <f>IF(B12="","",0)</f>
        <v/>
      </c>
      <c r="E12" s="32">
        <f>IF(B12="","",IF(ISNUMBER($C$8),IF(D12&gt;=$C$8,D12&amp;" baisses de suite",IF(ISNUMBER($C$7),IF(B12&lt;$C$7,"Sous le seuil",""),"")),IF(ISNUMBER($C$7),IF(B12&lt;$C$7,"Sous le seuil",""),"")))</f>
        <v/>
      </c>
      <c r="F12" s="32" t="n"/>
      <c r="G12" s="33">
        <f>IF(COUNT('Règle du lundi (retards)'!$C$10:$C$14)=0,"",SUM('Règle du lundi (retards)'!$C$10:$C$14))</f>
        <v/>
      </c>
      <c r="H12" s="30" t="n"/>
      <c r="I12" s="31">
        <f>IF(G12="","",COUNTIF('Règle du lundi (retards)'!$F$10:$F$14,"Revient : appeler"))</f>
        <v/>
      </c>
      <c r="J12" s="14" t="n"/>
      <c r="K12" s="14" t="n"/>
      <c r="L12" s="14" t="n"/>
      <c r="M12" s="14" t="n"/>
      <c r="U12" s="9">
        <f>IF(B12="","",1)</f>
        <v/>
      </c>
    </row>
    <row r="13" ht="16" customHeight="1">
      <c r="A13" s="29">
        <f>IF($C$6="","",$C$6+7)</f>
        <v/>
      </c>
      <c r="B13" s="22" t="n"/>
      <c r="C13" s="30">
        <f>IF(OR(B13="",B12=""),"",B13-B12)</f>
        <v/>
      </c>
      <c r="D13" s="31">
        <f>IF(B13="","",IF(ISNUMBER(C13),IF(C13&lt;0,N(D12)+1,0),0))</f>
        <v/>
      </c>
      <c r="E13" s="32">
        <f>IF(B13="","",IF(ISNUMBER($C$8),IF(D13&gt;=$C$8,D13&amp;" baisses de suite",IF(ISNUMBER($C$7),IF(B13&lt;$C$7,"Sous le seuil",""),"")),IF(ISNUMBER($C$7),IF(B13&lt;$C$7,"Sous le seuil",""),"")))</f>
        <v/>
      </c>
      <c r="F13" s="32" t="n"/>
      <c r="G13" s="33">
        <f>IF(COUNT('Règle du lundi (retards)'!$C$15:$C$19)=0,"",SUM('Règle du lundi (retards)'!$C$15:$C$19))</f>
        <v/>
      </c>
      <c r="H13" s="30">
        <f>IF(OR(G13="",G12=""),"",G13-G12)</f>
        <v/>
      </c>
      <c r="I13" s="31">
        <f>IF(G13="","",COUNTIF('Règle du lundi (retards)'!$F$15:$F$19,"Revient : appeler"))</f>
        <v/>
      </c>
      <c r="J13" s="14" t="n"/>
      <c r="K13" s="14" t="n"/>
      <c r="L13" s="14" t="n"/>
      <c r="M13" s="14" t="n"/>
      <c r="U13" s="9">
        <f>IF(B13="","",2)</f>
        <v/>
      </c>
    </row>
    <row r="14" ht="16" customHeight="1">
      <c r="A14" s="29">
        <f>IF($C$6="","",$C$6+14)</f>
        <v/>
      </c>
      <c r="B14" s="22" t="n"/>
      <c r="C14" s="30">
        <f>IF(OR(B14="",B13=""),"",B14-B13)</f>
        <v/>
      </c>
      <c r="D14" s="31">
        <f>IF(B14="","",IF(ISNUMBER(C14),IF(C14&lt;0,N(D13)+1,0),0))</f>
        <v/>
      </c>
      <c r="E14" s="32">
        <f>IF(B14="","",IF(ISNUMBER($C$8),IF(D14&gt;=$C$8,D14&amp;" baisses de suite",IF(ISNUMBER($C$7),IF(B14&lt;$C$7,"Sous le seuil",""),"")),IF(ISNUMBER($C$7),IF(B14&lt;$C$7,"Sous le seuil",""),"")))</f>
        <v/>
      </c>
      <c r="F14" s="32" t="n"/>
      <c r="G14" s="33">
        <f>IF(COUNT('Règle du lundi (retards)'!$C$20:$C$24)=0,"",SUM('Règle du lundi (retards)'!$C$20:$C$24))</f>
        <v/>
      </c>
      <c r="H14" s="30">
        <f>IF(OR(G14="",G13=""),"",G14-G13)</f>
        <v/>
      </c>
      <c r="I14" s="31">
        <f>IF(G14="","",COUNTIF('Règle du lundi (retards)'!$F$20:$F$24,"Revient : appeler"))</f>
        <v/>
      </c>
      <c r="J14" s="14" t="n"/>
      <c r="K14" s="14" t="n"/>
      <c r="L14" s="14" t="n"/>
      <c r="M14" s="14" t="n"/>
      <c r="U14" s="9">
        <f>IF(B14="","",3)</f>
        <v/>
      </c>
    </row>
    <row r="15" ht="16" customHeight="1">
      <c r="A15" s="29">
        <f>IF($C$6="","",$C$6+21)</f>
        <v/>
      </c>
      <c r="B15" s="22" t="n"/>
      <c r="C15" s="30">
        <f>IF(OR(B15="",B14=""),"",B15-B14)</f>
        <v/>
      </c>
      <c r="D15" s="31">
        <f>IF(B15="","",IF(ISNUMBER(C15),IF(C15&lt;0,N(D14)+1,0),0))</f>
        <v/>
      </c>
      <c r="E15" s="32">
        <f>IF(B15="","",IF(ISNUMBER($C$8),IF(D15&gt;=$C$8,D15&amp;" baisses de suite",IF(ISNUMBER($C$7),IF(B15&lt;$C$7,"Sous le seuil",""),"")),IF(ISNUMBER($C$7),IF(B15&lt;$C$7,"Sous le seuil",""),"")))</f>
        <v/>
      </c>
      <c r="F15" s="32" t="n"/>
      <c r="G15" s="33">
        <f>IF(COUNT('Règle du lundi (retards)'!$C$25:$C$29)=0,"",SUM('Règle du lundi (retards)'!$C$25:$C$29))</f>
        <v/>
      </c>
      <c r="H15" s="30">
        <f>IF(OR(G15="",G14=""),"",G15-G14)</f>
        <v/>
      </c>
      <c r="I15" s="31">
        <f>IF(G15="","",COUNTIF('Règle du lundi (retards)'!$F$25:$F$29,"Revient : appeler"))</f>
        <v/>
      </c>
      <c r="J15" s="14" t="n"/>
      <c r="K15" s="14" t="n"/>
      <c r="L15" s="14" t="n"/>
      <c r="M15" s="14" t="n"/>
      <c r="U15" s="9">
        <f>IF(B15="","",4)</f>
        <v/>
      </c>
    </row>
    <row r="16" ht="16" customHeight="1">
      <c r="A16" s="29">
        <f>IF($C$6="","",$C$6+28)</f>
        <v/>
      </c>
      <c r="B16" s="22" t="n"/>
      <c r="C16" s="30">
        <f>IF(OR(B16="",B15=""),"",B16-B15)</f>
        <v/>
      </c>
      <c r="D16" s="31">
        <f>IF(B16="","",IF(ISNUMBER(C16),IF(C16&lt;0,N(D15)+1,0),0))</f>
        <v/>
      </c>
      <c r="E16" s="32">
        <f>IF(B16="","",IF(ISNUMBER($C$8),IF(D16&gt;=$C$8,D16&amp;" baisses de suite",IF(ISNUMBER($C$7),IF(B16&lt;$C$7,"Sous le seuil",""),"")),IF(ISNUMBER($C$7),IF(B16&lt;$C$7,"Sous le seuil",""),"")))</f>
        <v/>
      </c>
      <c r="F16" s="32" t="n"/>
      <c r="G16" s="33">
        <f>IF(COUNT('Règle du lundi (retards)'!$C$30:$C$34)=0,"",SUM('Règle du lundi (retards)'!$C$30:$C$34))</f>
        <v/>
      </c>
      <c r="H16" s="30">
        <f>IF(OR(G16="",G15=""),"",G16-G15)</f>
        <v/>
      </c>
      <c r="I16" s="31">
        <f>IF(G16="","",COUNTIF('Règle du lundi (retards)'!$F$30:$F$34,"Revient : appeler"))</f>
        <v/>
      </c>
      <c r="J16" s="14" t="n"/>
      <c r="K16" s="14" t="n"/>
      <c r="L16" s="14" t="n"/>
      <c r="M16" s="14" t="n"/>
      <c r="U16" s="9">
        <f>IF(B16="","",5)</f>
        <v/>
      </c>
    </row>
    <row r="17" ht="16" customHeight="1">
      <c r="A17" s="29">
        <f>IF($C$6="","",$C$6+35)</f>
        <v/>
      </c>
      <c r="B17" s="22" t="n"/>
      <c r="C17" s="30">
        <f>IF(OR(B17="",B16=""),"",B17-B16)</f>
        <v/>
      </c>
      <c r="D17" s="31">
        <f>IF(B17="","",IF(ISNUMBER(C17),IF(C17&lt;0,N(D16)+1,0),0))</f>
        <v/>
      </c>
      <c r="E17" s="32">
        <f>IF(B17="","",IF(ISNUMBER($C$8),IF(D17&gt;=$C$8,D17&amp;" baisses de suite",IF(ISNUMBER($C$7),IF(B17&lt;$C$7,"Sous le seuil",""),"")),IF(ISNUMBER($C$7),IF(B17&lt;$C$7,"Sous le seuil",""),"")))</f>
        <v/>
      </c>
      <c r="F17" s="32" t="n"/>
      <c r="G17" s="33">
        <f>IF(COUNT('Règle du lundi (retards)'!$C$35:$C$39)=0,"",SUM('Règle du lundi (retards)'!$C$35:$C$39))</f>
        <v/>
      </c>
      <c r="H17" s="30">
        <f>IF(OR(G17="",G16=""),"",G17-G16)</f>
        <v/>
      </c>
      <c r="I17" s="31">
        <f>IF(G17="","",COUNTIF('Règle du lundi (retards)'!$F$35:$F$39,"Revient : appeler"))</f>
        <v/>
      </c>
      <c r="J17" s="14" t="n"/>
      <c r="K17" s="14" t="n"/>
      <c r="L17" s="14" t="n"/>
      <c r="M17" s="14" t="n"/>
      <c r="U17" s="9">
        <f>IF(B17="","",6)</f>
        <v/>
      </c>
    </row>
    <row r="18" ht="16" customHeight="1">
      <c r="A18" s="29">
        <f>IF($C$6="","",$C$6+42)</f>
        <v/>
      </c>
      <c r="B18" s="22" t="n"/>
      <c r="C18" s="30">
        <f>IF(OR(B18="",B17=""),"",B18-B17)</f>
        <v/>
      </c>
      <c r="D18" s="31">
        <f>IF(B18="","",IF(ISNUMBER(C18),IF(C18&lt;0,N(D17)+1,0),0))</f>
        <v/>
      </c>
      <c r="E18" s="32">
        <f>IF(B18="","",IF(ISNUMBER($C$8),IF(D18&gt;=$C$8,D18&amp;" baisses de suite",IF(ISNUMBER($C$7),IF(B18&lt;$C$7,"Sous le seuil",""),"")),IF(ISNUMBER($C$7),IF(B18&lt;$C$7,"Sous le seuil",""),"")))</f>
        <v/>
      </c>
      <c r="F18" s="32" t="n"/>
      <c r="G18" s="33">
        <f>IF(COUNT('Règle du lundi (retards)'!$C$40:$C$44)=0,"",SUM('Règle du lundi (retards)'!$C$40:$C$44))</f>
        <v/>
      </c>
      <c r="H18" s="30">
        <f>IF(OR(G18="",G17=""),"",G18-G17)</f>
        <v/>
      </c>
      <c r="I18" s="31">
        <f>IF(G18="","",COUNTIF('Règle du lundi (retards)'!$F$40:$F$44,"Revient : appeler"))</f>
        <v/>
      </c>
      <c r="J18" s="14" t="n"/>
      <c r="K18" s="14" t="n"/>
      <c r="L18" s="14" t="n"/>
      <c r="M18" s="14" t="n"/>
      <c r="U18" s="9">
        <f>IF(B18="","",7)</f>
        <v/>
      </c>
    </row>
    <row r="19" ht="16" customHeight="1">
      <c r="A19" s="29">
        <f>IF($C$6="","",$C$6+49)</f>
        <v/>
      </c>
      <c r="B19" s="22" t="n"/>
      <c r="C19" s="30">
        <f>IF(OR(B19="",B18=""),"",B19-B18)</f>
        <v/>
      </c>
      <c r="D19" s="31">
        <f>IF(B19="","",IF(ISNUMBER(C19),IF(C19&lt;0,N(D18)+1,0),0))</f>
        <v/>
      </c>
      <c r="E19" s="32">
        <f>IF(B19="","",IF(ISNUMBER($C$8),IF(D19&gt;=$C$8,D19&amp;" baisses de suite",IF(ISNUMBER($C$7),IF(B19&lt;$C$7,"Sous le seuil",""),"")),IF(ISNUMBER($C$7),IF(B19&lt;$C$7,"Sous le seuil",""),"")))</f>
        <v/>
      </c>
      <c r="F19" s="32" t="n"/>
      <c r="G19" s="33">
        <f>IF(COUNT('Règle du lundi (retards)'!$C$45:$C$49)=0,"",SUM('Règle du lundi (retards)'!$C$45:$C$49))</f>
        <v/>
      </c>
      <c r="H19" s="30">
        <f>IF(OR(G19="",G18=""),"",G19-G18)</f>
        <v/>
      </c>
      <c r="I19" s="31">
        <f>IF(G19="","",COUNTIF('Règle du lundi (retards)'!$F$45:$F$49,"Revient : appeler"))</f>
        <v/>
      </c>
      <c r="J19" s="14" t="n"/>
      <c r="K19" s="14" t="n"/>
      <c r="L19" s="14" t="n"/>
      <c r="M19" s="14" t="n"/>
      <c r="U19" s="9">
        <f>IF(B19="","",8)</f>
        <v/>
      </c>
    </row>
    <row r="20" ht="16" customHeight="1">
      <c r="A20" s="29">
        <f>IF($C$6="","",$C$6+56)</f>
        <v/>
      </c>
      <c r="B20" s="22" t="n"/>
      <c r="C20" s="30">
        <f>IF(OR(B20="",B19=""),"",B20-B19)</f>
        <v/>
      </c>
      <c r="D20" s="31">
        <f>IF(B20="","",IF(ISNUMBER(C20),IF(C20&lt;0,N(D19)+1,0),0))</f>
        <v/>
      </c>
      <c r="E20" s="32">
        <f>IF(B20="","",IF(ISNUMBER($C$8),IF(D20&gt;=$C$8,D20&amp;" baisses de suite",IF(ISNUMBER($C$7),IF(B20&lt;$C$7,"Sous le seuil",""),"")),IF(ISNUMBER($C$7),IF(B20&lt;$C$7,"Sous le seuil",""),"")))</f>
        <v/>
      </c>
      <c r="F20" s="32" t="n"/>
      <c r="G20" s="33">
        <f>IF(COUNT('Règle du lundi (retards)'!$C$50:$C$54)=0,"",SUM('Règle du lundi (retards)'!$C$50:$C$54))</f>
        <v/>
      </c>
      <c r="H20" s="30">
        <f>IF(OR(G20="",G19=""),"",G20-G19)</f>
        <v/>
      </c>
      <c r="I20" s="31">
        <f>IF(G20="","",COUNTIF('Règle du lundi (retards)'!$F$50:$F$54,"Revient : appeler"))</f>
        <v/>
      </c>
      <c r="J20" s="14" t="n"/>
      <c r="K20" s="14" t="n"/>
      <c r="L20" s="14" t="n"/>
      <c r="M20" s="14" t="n"/>
      <c r="U20" s="9">
        <f>IF(B20="","",9)</f>
        <v/>
      </c>
    </row>
    <row r="21" ht="16" customHeight="1">
      <c r="A21" s="29">
        <f>IF($C$6="","",$C$6+63)</f>
        <v/>
      </c>
      <c r="B21" s="22" t="n"/>
      <c r="C21" s="30">
        <f>IF(OR(B21="",B20=""),"",B21-B20)</f>
        <v/>
      </c>
      <c r="D21" s="31">
        <f>IF(B21="","",IF(ISNUMBER(C21),IF(C21&lt;0,N(D20)+1,0),0))</f>
        <v/>
      </c>
      <c r="E21" s="32">
        <f>IF(B21="","",IF(ISNUMBER($C$8),IF(D21&gt;=$C$8,D21&amp;" baisses de suite",IF(ISNUMBER($C$7),IF(B21&lt;$C$7,"Sous le seuil",""),"")),IF(ISNUMBER($C$7),IF(B21&lt;$C$7,"Sous le seuil",""),"")))</f>
        <v/>
      </c>
      <c r="F21" s="32" t="n"/>
      <c r="G21" s="33">
        <f>IF(COUNT('Règle du lundi (retards)'!$C$55:$C$59)=0,"",SUM('Règle du lundi (retards)'!$C$55:$C$59))</f>
        <v/>
      </c>
      <c r="H21" s="30">
        <f>IF(OR(G21="",G20=""),"",G21-G20)</f>
        <v/>
      </c>
      <c r="I21" s="31">
        <f>IF(G21="","",COUNTIF('Règle du lundi (retards)'!$F$55:$F$59,"Revient : appeler"))</f>
        <v/>
      </c>
      <c r="J21" s="14" t="n"/>
      <c r="K21" s="14" t="n"/>
      <c r="L21" s="14" t="n"/>
      <c r="M21" s="14" t="n"/>
      <c r="U21" s="9">
        <f>IF(B21="","",10)</f>
        <v/>
      </c>
    </row>
    <row r="22" ht="16" customHeight="1">
      <c r="A22" s="29">
        <f>IF($C$6="","",$C$6+70)</f>
        <v/>
      </c>
      <c r="B22" s="22" t="n"/>
      <c r="C22" s="30">
        <f>IF(OR(B22="",B21=""),"",B22-B21)</f>
        <v/>
      </c>
      <c r="D22" s="31">
        <f>IF(B22="","",IF(ISNUMBER(C22),IF(C22&lt;0,N(D21)+1,0),0))</f>
        <v/>
      </c>
      <c r="E22" s="32">
        <f>IF(B22="","",IF(ISNUMBER($C$8),IF(D22&gt;=$C$8,D22&amp;" baisses de suite",IF(ISNUMBER($C$7),IF(B22&lt;$C$7,"Sous le seuil",""),"")),IF(ISNUMBER($C$7),IF(B22&lt;$C$7,"Sous le seuil",""),"")))</f>
        <v/>
      </c>
      <c r="F22" s="32" t="n"/>
      <c r="G22" s="33">
        <f>IF(COUNT('Règle du lundi (retards)'!$C$60:$C$64)=0,"",SUM('Règle du lundi (retards)'!$C$60:$C$64))</f>
        <v/>
      </c>
      <c r="H22" s="30">
        <f>IF(OR(G22="",G21=""),"",G22-G21)</f>
        <v/>
      </c>
      <c r="I22" s="31">
        <f>IF(G22="","",COUNTIF('Règle du lundi (retards)'!$F$60:$F$64,"Revient : appeler"))</f>
        <v/>
      </c>
      <c r="J22" s="14" t="n"/>
      <c r="K22" s="14" t="n"/>
      <c r="L22" s="14" t="n"/>
      <c r="M22" s="14" t="n"/>
      <c r="U22" s="9">
        <f>IF(B22="","",11)</f>
        <v/>
      </c>
    </row>
    <row r="23" ht="16" customHeight="1">
      <c r="A23" s="29">
        <f>IF($C$6="","",$C$6+77)</f>
        <v/>
      </c>
      <c r="B23" s="22" t="n"/>
      <c r="C23" s="30">
        <f>IF(OR(B23="",B22=""),"",B23-B22)</f>
        <v/>
      </c>
      <c r="D23" s="31">
        <f>IF(B23="","",IF(ISNUMBER(C23),IF(C23&lt;0,N(D22)+1,0),0))</f>
        <v/>
      </c>
      <c r="E23" s="32">
        <f>IF(B23="","",IF(ISNUMBER($C$8),IF(D23&gt;=$C$8,D23&amp;" baisses de suite",IF(ISNUMBER($C$7),IF(B23&lt;$C$7,"Sous le seuil",""),"")),IF(ISNUMBER($C$7),IF(B23&lt;$C$7,"Sous le seuil",""),"")))</f>
        <v/>
      </c>
      <c r="F23" s="32" t="n"/>
      <c r="G23" s="33">
        <f>IF(COUNT('Règle du lundi (retards)'!$C$65:$C$69)=0,"",SUM('Règle du lundi (retards)'!$C$65:$C$69))</f>
        <v/>
      </c>
      <c r="H23" s="30">
        <f>IF(OR(G23="",G22=""),"",G23-G22)</f>
        <v/>
      </c>
      <c r="I23" s="31">
        <f>IF(G23="","",COUNTIF('Règle du lundi (retards)'!$F$65:$F$69,"Revient : appeler"))</f>
        <v/>
      </c>
      <c r="J23" s="14" t="n"/>
      <c r="K23" s="14" t="n"/>
      <c r="L23" s="14" t="n"/>
      <c r="M23" s="14" t="n"/>
      <c r="U23" s="9">
        <f>IF(B23="","",12)</f>
        <v/>
      </c>
    </row>
    <row r="24" ht="16" customHeight="1">
      <c r="A24" s="29">
        <f>IF($C$6="","",$C$6+84)</f>
        <v/>
      </c>
      <c r="B24" s="22" t="n"/>
      <c r="C24" s="30">
        <f>IF(OR(B24="",B23=""),"",B24-B23)</f>
        <v/>
      </c>
      <c r="D24" s="31">
        <f>IF(B24="","",IF(ISNUMBER(C24),IF(C24&lt;0,N(D23)+1,0),0))</f>
        <v/>
      </c>
      <c r="E24" s="32">
        <f>IF(B24="","",IF(ISNUMBER($C$8),IF(D24&gt;=$C$8,D24&amp;" baisses de suite",IF(ISNUMBER($C$7),IF(B24&lt;$C$7,"Sous le seuil",""),"")),IF(ISNUMBER($C$7),IF(B24&lt;$C$7,"Sous le seuil",""),"")))</f>
        <v/>
      </c>
      <c r="F24" s="32" t="n"/>
      <c r="G24" s="33">
        <f>IF(COUNT('Règle du lundi (retards)'!$C$70:$C$74)=0,"",SUM('Règle du lundi (retards)'!$C$70:$C$74))</f>
        <v/>
      </c>
      <c r="H24" s="30">
        <f>IF(OR(G24="",G23=""),"",G24-G23)</f>
        <v/>
      </c>
      <c r="I24" s="31">
        <f>IF(G24="","",COUNTIF('Règle du lundi (retards)'!$F$70:$F$74,"Revient : appeler"))</f>
        <v/>
      </c>
      <c r="J24" s="14" t="n"/>
      <c r="K24" s="14" t="n"/>
      <c r="L24" s="14" t="n"/>
      <c r="M24" s="14" t="n"/>
      <c r="U24" s="9">
        <f>IF(B24="","",13)</f>
        <v/>
      </c>
    </row>
    <row r="25" ht="16" customHeight="1">
      <c r="A25" s="29">
        <f>IF($C$6="","",$C$6+91)</f>
        <v/>
      </c>
      <c r="B25" s="22" t="n"/>
      <c r="C25" s="30">
        <f>IF(OR(B25="",B24=""),"",B25-B24)</f>
        <v/>
      </c>
      <c r="D25" s="31">
        <f>IF(B25="","",IF(ISNUMBER(C25),IF(C25&lt;0,N(D24)+1,0),0))</f>
        <v/>
      </c>
      <c r="E25" s="32">
        <f>IF(B25="","",IF(ISNUMBER($C$8),IF(D25&gt;=$C$8,D25&amp;" baisses de suite",IF(ISNUMBER($C$7),IF(B25&lt;$C$7,"Sous le seuil",""),"")),IF(ISNUMBER($C$7),IF(B25&lt;$C$7,"Sous le seuil",""),"")))</f>
        <v/>
      </c>
      <c r="F25" s="32" t="n"/>
      <c r="G25" s="33">
        <f>IF(COUNT('Règle du lundi (retards)'!$C$75:$C$79)=0,"",SUM('Règle du lundi (retards)'!$C$75:$C$79))</f>
        <v/>
      </c>
      <c r="H25" s="30">
        <f>IF(OR(G25="",G24=""),"",G25-G24)</f>
        <v/>
      </c>
      <c r="I25" s="31">
        <f>IF(G25="","",COUNTIF('Règle du lundi (retards)'!$F$75:$F$79,"Revient : appeler"))</f>
        <v/>
      </c>
      <c r="J25" s="14" t="n"/>
      <c r="K25" s="14" t="n"/>
      <c r="L25" s="14" t="n"/>
      <c r="M25" s="14" t="n"/>
      <c r="U25" s="9">
        <f>IF(B25="","",14)</f>
        <v/>
      </c>
    </row>
    <row r="26" ht="16" customHeight="1">
      <c r="A26" s="29">
        <f>IF($C$6="","",$C$6+98)</f>
        <v/>
      </c>
      <c r="B26" s="22" t="n"/>
      <c r="C26" s="30">
        <f>IF(OR(B26="",B25=""),"",B26-B25)</f>
        <v/>
      </c>
      <c r="D26" s="31">
        <f>IF(B26="","",IF(ISNUMBER(C26),IF(C26&lt;0,N(D25)+1,0),0))</f>
        <v/>
      </c>
      <c r="E26" s="32">
        <f>IF(B26="","",IF(ISNUMBER($C$8),IF(D26&gt;=$C$8,D26&amp;" baisses de suite",IF(ISNUMBER($C$7),IF(B26&lt;$C$7,"Sous le seuil",""),"")),IF(ISNUMBER($C$7),IF(B26&lt;$C$7,"Sous le seuil",""),"")))</f>
        <v/>
      </c>
      <c r="F26" s="32" t="n"/>
      <c r="G26" s="33">
        <f>IF(COUNT('Règle du lundi (retards)'!$C$80:$C$84)=0,"",SUM('Règle du lundi (retards)'!$C$80:$C$84))</f>
        <v/>
      </c>
      <c r="H26" s="30">
        <f>IF(OR(G26="",G25=""),"",G26-G25)</f>
        <v/>
      </c>
      <c r="I26" s="31">
        <f>IF(G26="","",COUNTIF('Règle du lundi (retards)'!$F$80:$F$84,"Revient : appeler"))</f>
        <v/>
      </c>
      <c r="J26" s="14" t="n"/>
      <c r="K26" s="14" t="n"/>
      <c r="L26" s="14" t="n"/>
      <c r="M26" s="14" t="n"/>
      <c r="U26" s="9">
        <f>IF(B26="","",15)</f>
        <v/>
      </c>
    </row>
    <row r="27" ht="16" customHeight="1">
      <c r="A27" s="29">
        <f>IF($C$6="","",$C$6+105)</f>
        <v/>
      </c>
      <c r="B27" s="22" t="n"/>
      <c r="C27" s="30">
        <f>IF(OR(B27="",B26=""),"",B27-B26)</f>
        <v/>
      </c>
      <c r="D27" s="31">
        <f>IF(B27="","",IF(ISNUMBER(C27),IF(C27&lt;0,N(D26)+1,0),0))</f>
        <v/>
      </c>
      <c r="E27" s="32">
        <f>IF(B27="","",IF(ISNUMBER($C$8),IF(D27&gt;=$C$8,D27&amp;" baisses de suite",IF(ISNUMBER($C$7),IF(B27&lt;$C$7,"Sous le seuil",""),"")),IF(ISNUMBER($C$7),IF(B27&lt;$C$7,"Sous le seuil",""),"")))</f>
        <v/>
      </c>
      <c r="F27" s="32" t="n"/>
      <c r="G27" s="33">
        <f>IF(COUNT('Règle du lundi (retards)'!$C$85:$C$89)=0,"",SUM('Règle du lundi (retards)'!$C$85:$C$89))</f>
        <v/>
      </c>
      <c r="H27" s="30">
        <f>IF(OR(G27="",G26=""),"",G27-G26)</f>
        <v/>
      </c>
      <c r="I27" s="31">
        <f>IF(G27="","",COUNTIF('Règle du lundi (retards)'!$F$85:$F$89,"Revient : appeler"))</f>
        <v/>
      </c>
      <c r="J27" s="14" t="n"/>
      <c r="K27" s="14" t="n"/>
      <c r="L27" s="14" t="n"/>
      <c r="M27" s="14" t="n"/>
      <c r="U27" s="9">
        <f>IF(B27="","",16)</f>
        <v/>
      </c>
    </row>
    <row r="28" ht="16" customHeight="1">
      <c r="A28" s="29">
        <f>IF($C$6="","",$C$6+112)</f>
        <v/>
      </c>
      <c r="B28" s="22" t="n"/>
      <c r="C28" s="30">
        <f>IF(OR(B28="",B27=""),"",B28-B27)</f>
        <v/>
      </c>
      <c r="D28" s="31">
        <f>IF(B28="","",IF(ISNUMBER(C28),IF(C28&lt;0,N(D27)+1,0),0))</f>
        <v/>
      </c>
      <c r="E28" s="32">
        <f>IF(B28="","",IF(ISNUMBER($C$8),IF(D28&gt;=$C$8,D28&amp;" baisses de suite",IF(ISNUMBER($C$7),IF(B28&lt;$C$7,"Sous le seuil",""),"")),IF(ISNUMBER($C$7),IF(B28&lt;$C$7,"Sous le seuil",""),"")))</f>
        <v/>
      </c>
      <c r="F28" s="32" t="n"/>
      <c r="G28" s="33">
        <f>IF(COUNT('Règle du lundi (retards)'!$C$90:$C$94)=0,"",SUM('Règle du lundi (retards)'!$C$90:$C$94))</f>
        <v/>
      </c>
      <c r="H28" s="30">
        <f>IF(OR(G28="",G27=""),"",G28-G27)</f>
        <v/>
      </c>
      <c r="I28" s="31">
        <f>IF(G28="","",COUNTIF('Règle du lundi (retards)'!$F$90:$F$94,"Revient : appeler"))</f>
        <v/>
      </c>
      <c r="J28" s="14" t="n"/>
      <c r="K28" s="14" t="n"/>
      <c r="L28" s="14" t="n"/>
      <c r="M28" s="14" t="n"/>
      <c r="U28" s="9">
        <f>IF(B28="","",17)</f>
        <v/>
      </c>
    </row>
    <row r="29" ht="16" customHeight="1">
      <c r="A29" s="29">
        <f>IF($C$6="","",$C$6+119)</f>
        <v/>
      </c>
      <c r="B29" s="22" t="n"/>
      <c r="C29" s="30">
        <f>IF(OR(B29="",B28=""),"",B29-B28)</f>
        <v/>
      </c>
      <c r="D29" s="31">
        <f>IF(B29="","",IF(ISNUMBER(C29),IF(C29&lt;0,N(D28)+1,0),0))</f>
        <v/>
      </c>
      <c r="E29" s="32">
        <f>IF(B29="","",IF(ISNUMBER($C$8),IF(D29&gt;=$C$8,D29&amp;" baisses de suite",IF(ISNUMBER($C$7),IF(B29&lt;$C$7,"Sous le seuil",""),"")),IF(ISNUMBER($C$7),IF(B29&lt;$C$7,"Sous le seuil",""),"")))</f>
        <v/>
      </c>
      <c r="F29" s="32" t="n"/>
      <c r="G29" s="33">
        <f>IF(COUNT('Règle du lundi (retards)'!$C$95:$C$99)=0,"",SUM('Règle du lundi (retards)'!$C$95:$C$99))</f>
        <v/>
      </c>
      <c r="H29" s="30">
        <f>IF(OR(G29="",G28=""),"",G29-G28)</f>
        <v/>
      </c>
      <c r="I29" s="31">
        <f>IF(G29="","",COUNTIF('Règle du lundi (retards)'!$F$95:$F$99,"Revient : appeler"))</f>
        <v/>
      </c>
      <c r="J29" s="14" t="n"/>
      <c r="K29" s="14" t="n"/>
      <c r="L29" s="14" t="n"/>
      <c r="M29" s="14" t="n"/>
      <c r="U29" s="9">
        <f>IF(B29="","",18)</f>
        <v/>
      </c>
    </row>
    <row r="30" ht="16" customHeight="1">
      <c r="A30" s="29">
        <f>IF($C$6="","",$C$6+126)</f>
        <v/>
      </c>
      <c r="B30" s="22" t="n"/>
      <c r="C30" s="30">
        <f>IF(OR(B30="",B29=""),"",B30-B29)</f>
        <v/>
      </c>
      <c r="D30" s="31">
        <f>IF(B30="","",IF(ISNUMBER(C30),IF(C30&lt;0,N(D29)+1,0),0))</f>
        <v/>
      </c>
      <c r="E30" s="32">
        <f>IF(B30="","",IF(ISNUMBER($C$8),IF(D30&gt;=$C$8,D30&amp;" baisses de suite",IF(ISNUMBER($C$7),IF(B30&lt;$C$7,"Sous le seuil",""),"")),IF(ISNUMBER($C$7),IF(B30&lt;$C$7,"Sous le seuil",""),"")))</f>
        <v/>
      </c>
      <c r="F30" s="32" t="n"/>
      <c r="G30" s="33">
        <f>IF(COUNT('Règle du lundi (retards)'!$C$100:$C$104)=0,"",SUM('Règle du lundi (retards)'!$C$100:$C$104))</f>
        <v/>
      </c>
      <c r="H30" s="30">
        <f>IF(OR(G30="",G29=""),"",G30-G29)</f>
        <v/>
      </c>
      <c r="I30" s="31">
        <f>IF(G30="","",COUNTIF('Règle du lundi (retards)'!$F$100:$F$104,"Revient : appeler"))</f>
        <v/>
      </c>
      <c r="J30" s="14" t="n"/>
      <c r="K30" s="14" t="n"/>
      <c r="L30" s="14" t="n"/>
      <c r="M30" s="14" t="n"/>
      <c r="U30" s="9">
        <f>IF(B30="","",19)</f>
        <v/>
      </c>
    </row>
    <row r="31" ht="16" customHeight="1">
      <c r="A31" s="29">
        <f>IF($C$6="","",$C$6+133)</f>
        <v/>
      </c>
      <c r="B31" s="22" t="n"/>
      <c r="C31" s="30">
        <f>IF(OR(B31="",B30=""),"",B31-B30)</f>
        <v/>
      </c>
      <c r="D31" s="31">
        <f>IF(B31="","",IF(ISNUMBER(C31),IF(C31&lt;0,N(D30)+1,0),0))</f>
        <v/>
      </c>
      <c r="E31" s="32">
        <f>IF(B31="","",IF(ISNUMBER($C$8),IF(D31&gt;=$C$8,D31&amp;" baisses de suite",IF(ISNUMBER($C$7),IF(B31&lt;$C$7,"Sous le seuil",""),"")),IF(ISNUMBER($C$7),IF(B31&lt;$C$7,"Sous le seuil",""),"")))</f>
        <v/>
      </c>
      <c r="F31" s="32" t="n"/>
      <c r="G31" s="33">
        <f>IF(COUNT('Règle du lundi (retards)'!$C$105:$C$109)=0,"",SUM('Règle du lundi (retards)'!$C$105:$C$109))</f>
        <v/>
      </c>
      <c r="H31" s="30">
        <f>IF(OR(G31="",G30=""),"",G31-G30)</f>
        <v/>
      </c>
      <c r="I31" s="31">
        <f>IF(G31="","",COUNTIF('Règle du lundi (retards)'!$F$105:$F$109,"Revient : appeler"))</f>
        <v/>
      </c>
      <c r="J31" s="14" t="n"/>
      <c r="K31" s="14" t="n"/>
      <c r="L31" s="14" t="n"/>
      <c r="M31" s="14" t="n"/>
      <c r="U31" s="9">
        <f>IF(B31="","",20)</f>
        <v/>
      </c>
    </row>
    <row r="32" ht="16" customHeight="1">
      <c r="A32" s="29">
        <f>IF($C$6="","",$C$6+140)</f>
        <v/>
      </c>
      <c r="B32" s="22" t="n"/>
      <c r="C32" s="30">
        <f>IF(OR(B32="",B31=""),"",B32-B31)</f>
        <v/>
      </c>
      <c r="D32" s="31">
        <f>IF(B32="","",IF(ISNUMBER(C32),IF(C32&lt;0,N(D31)+1,0),0))</f>
        <v/>
      </c>
      <c r="E32" s="32">
        <f>IF(B32="","",IF(ISNUMBER($C$8),IF(D32&gt;=$C$8,D32&amp;" baisses de suite",IF(ISNUMBER($C$7),IF(B32&lt;$C$7,"Sous le seuil",""),"")),IF(ISNUMBER($C$7),IF(B32&lt;$C$7,"Sous le seuil",""),"")))</f>
        <v/>
      </c>
      <c r="F32" s="32" t="n"/>
      <c r="G32" s="33">
        <f>IF(COUNT('Règle du lundi (retards)'!$C$110:$C$114)=0,"",SUM('Règle du lundi (retards)'!$C$110:$C$114))</f>
        <v/>
      </c>
      <c r="H32" s="30">
        <f>IF(OR(G32="",G31=""),"",G32-G31)</f>
        <v/>
      </c>
      <c r="I32" s="31">
        <f>IF(G32="","",COUNTIF('Règle du lundi (retards)'!$F$110:$F$114,"Revient : appeler"))</f>
        <v/>
      </c>
      <c r="J32" s="14" t="n"/>
      <c r="K32" s="14" t="n"/>
      <c r="L32" s="14" t="n"/>
      <c r="M32" s="14" t="n"/>
      <c r="U32" s="9">
        <f>IF(B32="","",21)</f>
        <v/>
      </c>
    </row>
    <row r="33" ht="16" customHeight="1">
      <c r="A33" s="29">
        <f>IF($C$6="","",$C$6+147)</f>
        <v/>
      </c>
      <c r="B33" s="22" t="n"/>
      <c r="C33" s="30">
        <f>IF(OR(B33="",B32=""),"",B33-B32)</f>
        <v/>
      </c>
      <c r="D33" s="31">
        <f>IF(B33="","",IF(ISNUMBER(C33),IF(C33&lt;0,N(D32)+1,0),0))</f>
        <v/>
      </c>
      <c r="E33" s="32">
        <f>IF(B33="","",IF(ISNUMBER($C$8),IF(D33&gt;=$C$8,D33&amp;" baisses de suite",IF(ISNUMBER($C$7),IF(B33&lt;$C$7,"Sous le seuil",""),"")),IF(ISNUMBER($C$7),IF(B33&lt;$C$7,"Sous le seuil",""),"")))</f>
        <v/>
      </c>
      <c r="F33" s="32" t="n"/>
      <c r="G33" s="33">
        <f>IF(COUNT('Règle du lundi (retards)'!$C$115:$C$119)=0,"",SUM('Règle du lundi (retards)'!$C$115:$C$119))</f>
        <v/>
      </c>
      <c r="H33" s="30">
        <f>IF(OR(G33="",G32=""),"",G33-G32)</f>
        <v/>
      </c>
      <c r="I33" s="31">
        <f>IF(G33="","",COUNTIF('Règle du lundi (retards)'!$F$115:$F$119,"Revient : appeler"))</f>
        <v/>
      </c>
      <c r="J33" s="14" t="n"/>
      <c r="K33" s="14" t="n"/>
      <c r="L33" s="14" t="n"/>
      <c r="M33" s="14" t="n"/>
      <c r="U33" s="9">
        <f>IF(B33="","",22)</f>
        <v/>
      </c>
    </row>
    <row r="34" ht="16" customHeight="1">
      <c r="A34" s="29">
        <f>IF($C$6="","",$C$6+154)</f>
        <v/>
      </c>
      <c r="B34" s="22" t="n"/>
      <c r="C34" s="30">
        <f>IF(OR(B34="",B33=""),"",B34-B33)</f>
        <v/>
      </c>
      <c r="D34" s="31">
        <f>IF(B34="","",IF(ISNUMBER(C34),IF(C34&lt;0,N(D33)+1,0),0))</f>
        <v/>
      </c>
      <c r="E34" s="32">
        <f>IF(B34="","",IF(ISNUMBER($C$8),IF(D34&gt;=$C$8,D34&amp;" baisses de suite",IF(ISNUMBER($C$7),IF(B34&lt;$C$7,"Sous le seuil",""),"")),IF(ISNUMBER($C$7),IF(B34&lt;$C$7,"Sous le seuil",""),"")))</f>
        <v/>
      </c>
      <c r="F34" s="32" t="n"/>
      <c r="G34" s="33">
        <f>IF(COUNT('Règle du lundi (retards)'!$C$120:$C$124)=0,"",SUM('Règle du lundi (retards)'!$C$120:$C$124))</f>
        <v/>
      </c>
      <c r="H34" s="30">
        <f>IF(OR(G34="",G33=""),"",G34-G33)</f>
        <v/>
      </c>
      <c r="I34" s="31">
        <f>IF(G34="","",COUNTIF('Règle du lundi (retards)'!$F$120:$F$124,"Revient : appeler"))</f>
        <v/>
      </c>
      <c r="J34" s="14" t="n"/>
      <c r="K34" s="14" t="n"/>
      <c r="L34" s="14" t="n"/>
      <c r="M34" s="14" t="n"/>
      <c r="U34" s="9">
        <f>IF(B34="","",23)</f>
        <v/>
      </c>
    </row>
    <row r="35" ht="16" customHeight="1">
      <c r="A35" s="29">
        <f>IF($C$6="","",$C$6+161)</f>
        <v/>
      </c>
      <c r="B35" s="22" t="n"/>
      <c r="C35" s="30">
        <f>IF(OR(B35="",B34=""),"",B35-B34)</f>
        <v/>
      </c>
      <c r="D35" s="31">
        <f>IF(B35="","",IF(ISNUMBER(C35),IF(C35&lt;0,N(D34)+1,0),0))</f>
        <v/>
      </c>
      <c r="E35" s="32">
        <f>IF(B35="","",IF(ISNUMBER($C$8),IF(D35&gt;=$C$8,D35&amp;" baisses de suite",IF(ISNUMBER($C$7),IF(B35&lt;$C$7,"Sous le seuil",""),"")),IF(ISNUMBER($C$7),IF(B35&lt;$C$7,"Sous le seuil",""),"")))</f>
        <v/>
      </c>
      <c r="F35" s="32" t="n"/>
      <c r="G35" s="33">
        <f>IF(COUNT('Règle du lundi (retards)'!$C$125:$C$129)=0,"",SUM('Règle du lundi (retards)'!$C$125:$C$129))</f>
        <v/>
      </c>
      <c r="H35" s="30">
        <f>IF(OR(G35="",G34=""),"",G35-G34)</f>
        <v/>
      </c>
      <c r="I35" s="31">
        <f>IF(G35="","",COUNTIF('Règle du lundi (retards)'!$F$125:$F$129,"Revient : appeler"))</f>
        <v/>
      </c>
      <c r="J35" s="14" t="n"/>
      <c r="K35" s="14" t="n"/>
      <c r="L35" s="14" t="n"/>
      <c r="M35" s="14" t="n"/>
      <c r="U35" s="9">
        <f>IF(B35="","",24)</f>
        <v/>
      </c>
    </row>
    <row r="36" ht="16" customHeight="1">
      <c r="A36" s="29">
        <f>IF($C$6="","",$C$6+168)</f>
        <v/>
      </c>
      <c r="B36" s="22" t="n"/>
      <c r="C36" s="30">
        <f>IF(OR(B36="",B35=""),"",B36-B35)</f>
        <v/>
      </c>
      <c r="D36" s="31">
        <f>IF(B36="","",IF(ISNUMBER(C36),IF(C36&lt;0,N(D35)+1,0),0))</f>
        <v/>
      </c>
      <c r="E36" s="32">
        <f>IF(B36="","",IF(ISNUMBER($C$8),IF(D36&gt;=$C$8,D36&amp;" baisses de suite",IF(ISNUMBER($C$7),IF(B36&lt;$C$7,"Sous le seuil",""),"")),IF(ISNUMBER($C$7),IF(B36&lt;$C$7,"Sous le seuil",""),"")))</f>
        <v/>
      </c>
      <c r="F36" s="32" t="n"/>
      <c r="G36" s="33">
        <f>IF(COUNT('Règle du lundi (retards)'!$C$130:$C$134)=0,"",SUM('Règle du lundi (retards)'!$C$130:$C$134))</f>
        <v/>
      </c>
      <c r="H36" s="30">
        <f>IF(OR(G36="",G35=""),"",G36-G35)</f>
        <v/>
      </c>
      <c r="I36" s="31">
        <f>IF(G36="","",COUNTIF('Règle du lundi (retards)'!$F$130:$F$134,"Revient : appeler"))</f>
        <v/>
      </c>
      <c r="J36" s="14" t="n"/>
      <c r="K36" s="14" t="n"/>
      <c r="L36" s="14" t="n"/>
      <c r="M36" s="14" t="n"/>
      <c r="U36" s="9">
        <f>IF(B36="","",25)</f>
        <v/>
      </c>
    </row>
    <row r="37" ht="16" customHeight="1">
      <c r="A37" s="29">
        <f>IF($C$6="","",$C$6+175)</f>
        <v/>
      </c>
      <c r="B37" s="22" t="n"/>
      <c r="C37" s="30">
        <f>IF(OR(B37="",B36=""),"",B37-B36)</f>
        <v/>
      </c>
      <c r="D37" s="31">
        <f>IF(B37="","",IF(ISNUMBER(C37),IF(C37&lt;0,N(D36)+1,0),0))</f>
        <v/>
      </c>
      <c r="E37" s="32">
        <f>IF(B37="","",IF(ISNUMBER($C$8),IF(D37&gt;=$C$8,D37&amp;" baisses de suite",IF(ISNUMBER($C$7),IF(B37&lt;$C$7,"Sous le seuil",""),"")),IF(ISNUMBER($C$7),IF(B37&lt;$C$7,"Sous le seuil",""),"")))</f>
        <v/>
      </c>
      <c r="F37" s="32" t="n"/>
      <c r="G37" s="33">
        <f>IF(COUNT('Règle du lundi (retards)'!$C$135:$C$139)=0,"",SUM('Règle du lundi (retards)'!$C$135:$C$139))</f>
        <v/>
      </c>
      <c r="H37" s="30">
        <f>IF(OR(G37="",G36=""),"",G37-G36)</f>
        <v/>
      </c>
      <c r="I37" s="31">
        <f>IF(G37="","",COUNTIF('Règle du lundi (retards)'!$F$135:$F$139,"Revient : appeler"))</f>
        <v/>
      </c>
      <c r="J37" s="14" t="n"/>
      <c r="K37" s="14" t="n"/>
      <c r="L37" s="14" t="n"/>
      <c r="M37" s="14" t="n"/>
      <c r="U37" s="9">
        <f>IF(B37="","",26)</f>
        <v/>
      </c>
    </row>
    <row r="38" ht="16" customHeight="1">
      <c r="A38" s="29">
        <f>IF($C$6="","",$C$6+182)</f>
        <v/>
      </c>
      <c r="B38" s="22" t="n"/>
      <c r="C38" s="30">
        <f>IF(OR(B38="",B37=""),"",B38-B37)</f>
        <v/>
      </c>
      <c r="D38" s="31">
        <f>IF(B38="","",IF(ISNUMBER(C38),IF(C38&lt;0,N(D37)+1,0),0))</f>
        <v/>
      </c>
      <c r="E38" s="32">
        <f>IF(B38="","",IF(ISNUMBER($C$8),IF(D38&gt;=$C$8,D38&amp;" baisses de suite",IF(ISNUMBER($C$7),IF(B38&lt;$C$7,"Sous le seuil",""),"")),IF(ISNUMBER($C$7),IF(B38&lt;$C$7,"Sous le seuil",""),"")))</f>
        <v/>
      </c>
      <c r="F38" s="32" t="n"/>
      <c r="G38" s="33">
        <f>IF(COUNT('Règle du lundi (retards)'!$C$140:$C$144)=0,"",SUM('Règle du lundi (retards)'!$C$140:$C$144))</f>
        <v/>
      </c>
      <c r="H38" s="30">
        <f>IF(OR(G38="",G37=""),"",G38-G37)</f>
        <v/>
      </c>
      <c r="I38" s="31">
        <f>IF(G38="","",COUNTIF('Règle du lundi (retards)'!$F$140:$F$144,"Revient : appeler"))</f>
        <v/>
      </c>
      <c r="J38" s="14" t="n"/>
      <c r="K38" s="14" t="n"/>
      <c r="L38" s="14" t="n"/>
      <c r="M38" s="14" t="n"/>
      <c r="U38" s="9">
        <f>IF(B38="","",27)</f>
        <v/>
      </c>
    </row>
    <row r="39" ht="16" customHeight="1">
      <c r="A39" s="29">
        <f>IF($C$6="","",$C$6+189)</f>
        <v/>
      </c>
      <c r="B39" s="22" t="n"/>
      <c r="C39" s="30">
        <f>IF(OR(B39="",B38=""),"",B39-B38)</f>
        <v/>
      </c>
      <c r="D39" s="31">
        <f>IF(B39="","",IF(ISNUMBER(C39),IF(C39&lt;0,N(D38)+1,0),0))</f>
        <v/>
      </c>
      <c r="E39" s="32">
        <f>IF(B39="","",IF(ISNUMBER($C$8),IF(D39&gt;=$C$8,D39&amp;" baisses de suite",IF(ISNUMBER($C$7),IF(B39&lt;$C$7,"Sous le seuil",""),"")),IF(ISNUMBER($C$7),IF(B39&lt;$C$7,"Sous le seuil",""),"")))</f>
        <v/>
      </c>
      <c r="F39" s="32" t="n"/>
      <c r="G39" s="33">
        <f>IF(COUNT('Règle du lundi (retards)'!$C$145:$C$149)=0,"",SUM('Règle du lundi (retards)'!$C$145:$C$149))</f>
        <v/>
      </c>
      <c r="H39" s="30">
        <f>IF(OR(G39="",G38=""),"",G39-G38)</f>
        <v/>
      </c>
      <c r="I39" s="31">
        <f>IF(G39="","",COUNTIF('Règle du lundi (retards)'!$F$145:$F$149,"Revient : appeler"))</f>
        <v/>
      </c>
      <c r="J39" s="14" t="n"/>
      <c r="K39" s="14" t="n"/>
      <c r="L39" s="14" t="n"/>
      <c r="M39" s="14" t="n"/>
      <c r="U39" s="9">
        <f>IF(B39="","",28)</f>
        <v/>
      </c>
    </row>
    <row r="40" ht="16" customHeight="1">
      <c r="A40" s="29">
        <f>IF($C$6="","",$C$6+196)</f>
        <v/>
      </c>
      <c r="B40" s="22" t="n"/>
      <c r="C40" s="30">
        <f>IF(OR(B40="",B39=""),"",B40-B39)</f>
        <v/>
      </c>
      <c r="D40" s="31">
        <f>IF(B40="","",IF(ISNUMBER(C40),IF(C40&lt;0,N(D39)+1,0),0))</f>
        <v/>
      </c>
      <c r="E40" s="32">
        <f>IF(B40="","",IF(ISNUMBER($C$8),IF(D40&gt;=$C$8,D40&amp;" baisses de suite",IF(ISNUMBER($C$7),IF(B40&lt;$C$7,"Sous le seuil",""),"")),IF(ISNUMBER($C$7),IF(B40&lt;$C$7,"Sous le seuil",""),"")))</f>
        <v/>
      </c>
      <c r="F40" s="32" t="n"/>
      <c r="G40" s="33">
        <f>IF(COUNT('Règle du lundi (retards)'!$C$150:$C$154)=0,"",SUM('Règle du lundi (retards)'!$C$150:$C$154))</f>
        <v/>
      </c>
      <c r="H40" s="30">
        <f>IF(OR(G40="",G39=""),"",G40-G39)</f>
        <v/>
      </c>
      <c r="I40" s="31">
        <f>IF(G40="","",COUNTIF('Règle du lundi (retards)'!$F$150:$F$154,"Revient : appeler"))</f>
        <v/>
      </c>
      <c r="J40" s="14" t="n"/>
      <c r="K40" s="14" t="n"/>
      <c r="L40" s="14" t="n"/>
      <c r="M40" s="14" t="n"/>
      <c r="U40" s="9">
        <f>IF(B40="","",29)</f>
        <v/>
      </c>
    </row>
    <row r="41" ht="16" customHeight="1">
      <c r="A41" s="29">
        <f>IF($C$6="","",$C$6+203)</f>
        <v/>
      </c>
      <c r="B41" s="22" t="n"/>
      <c r="C41" s="30">
        <f>IF(OR(B41="",B40=""),"",B41-B40)</f>
        <v/>
      </c>
      <c r="D41" s="31">
        <f>IF(B41="","",IF(ISNUMBER(C41),IF(C41&lt;0,N(D40)+1,0),0))</f>
        <v/>
      </c>
      <c r="E41" s="32">
        <f>IF(B41="","",IF(ISNUMBER($C$8),IF(D41&gt;=$C$8,D41&amp;" baisses de suite",IF(ISNUMBER($C$7),IF(B41&lt;$C$7,"Sous le seuil",""),"")),IF(ISNUMBER($C$7),IF(B41&lt;$C$7,"Sous le seuil",""),"")))</f>
        <v/>
      </c>
      <c r="F41" s="32" t="n"/>
      <c r="G41" s="33">
        <f>IF(COUNT('Règle du lundi (retards)'!$C$155:$C$159)=0,"",SUM('Règle du lundi (retards)'!$C$155:$C$159))</f>
        <v/>
      </c>
      <c r="H41" s="30">
        <f>IF(OR(G41="",G40=""),"",G41-G40)</f>
        <v/>
      </c>
      <c r="I41" s="31">
        <f>IF(G41="","",COUNTIF('Règle du lundi (retards)'!$F$155:$F$159,"Revient : appeler"))</f>
        <v/>
      </c>
      <c r="J41" s="14" t="n"/>
      <c r="K41" s="14" t="n"/>
      <c r="L41" s="14" t="n"/>
      <c r="M41" s="14" t="n"/>
      <c r="U41" s="9">
        <f>IF(B41="","",30)</f>
        <v/>
      </c>
    </row>
    <row r="42" ht="16" customHeight="1">
      <c r="A42" s="29">
        <f>IF($C$6="","",$C$6+210)</f>
        <v/>
      </c>
      <c r="B42" s="22" t="n"/>
      <c r="C42" s="30">
        <f>IF(OR(B42="",B41=""),"",B42-B41)</f>
        <v/>
      </c>
      <c r="D42" s="31">
        <f>IF(B42="","",IF(ISNUMBER(C42),IF(C42&lt;0,N(D41)+1,0),0))</f>
        <v/>
      </c>
      <c r="E42" s="32">
        <f>IF(B42="","",IF(ISNUMBER($C$8),IF(D42&gt;=$C$8,D42&amp;" baisses de suite",IF(ISNUMBER($C$7),IF(B42&lt;$C$7,"Sous le seuil",""),"")),IF(ISNUMBER($C$7),IF(B42&lt;$C$7,"Sous le seuil",""),"")))</f>
        <v/>
      </c>
      <c r="F42" s="32" t="n"/>
      <c r="G42" s="33">
        <f>IF(COUNT('Règle du lundi (retards)'!$C$160:$C$164)=0,"",SUM('Règle du lundi (retards)'!$C$160:$C$164))</f>
        <v/>
      </c>
      <c r="H42" s="30">
        <f>IF(OR(G42="",G41=""),"",G42-G41)</f>
        <v/>
      </c>
      <c r="I42" s="31">
        <f>IF(G42="","",COUNTIF('Règle du lundi (retards)'!$F$160:$F$164,"Revient : appeler"))</f>
        <v/>
      </c>
      <c r="J42" s="14" t="n"/>
      <c r="K42" s="14" t="n"/>
      <c r="L42" s="14" t="n"/>
      <c r="M42" s="14" t="n"/>
      <c r="U42" s="9">
        <f>IF(B42="","",31)</f>
        <v/>
      </c>
    </row>
    <row r="43" ht="16" customHeight="1">
      <c r="A43" s="29">
        <f>IF($C$6="","",$C$6+217)</f>
        <v/>
      </c>
      <c r="B43" s="22" t="n"/>
      <c r="C43" s="30">
        <f>IF(OR(B43="",B42=""),"",B43-B42)</f>
        <v/>
      </c>
      <c r="D43" s="31">
        <f>IF(B43="","",IF(ISNUMBER(C43),IF(C43&lt;0,N(D42)+1,0),0))</f>
        <v/>
      </c>
      <c r="E43" s="32">
        <f>IF(B43="","",IF(ISNUMBER($C$8),IF(D43&gt;=$C$8,D43&amp;" baisses de suite",IF(ISNUMBER($C$7),IF(B43&lt;$C$7,"Sous le seuil",""),"")),IF(ISNUMBER($C$7),IF(B43&lt;$C$7,"Sous le seuil",""),"")))</f>
        <v/>
      </c>
      <c r="F43" s="32" t="n"/>
      <c r="G43" s="33">
        <f>IF(COUNT('Règle du lundi (retards)'!$C$165:$C$169)=0,"",SUM('Règle du lundi (retards)'!$C$165:$C$169))</f>
        <v/>
      </c>
      <c r="H43" s="30">
        <f>IF(OR(G43="",G42=""),"",G43-G42)</f>
        <v/>
      </c>
      <c r="I43" s="31">
        <f>IF(G43="","",COUNTIF('Règle du lundi (retards)'!$F$165:$F$169,"Revient : appeler"))</f>
        <v/>
      </c>
      <c r="J43" s="14" t="n"/>
      <c r="K43" s="14" t="n"/>
      <c r="L43" s="14" t="n"/>
      <c r="M43" s="14" t="n"/>
      <c r="U43" s="9">
        <f>IF(B43="","",32)</f>
        <v/>
      </c>
    </row>
    <row r="44" ht="16" customHeight="1">
      <c r="A44" s="29">
        <f>IF($C$6="","",$C$6+224)</f>
        <v/>
      </c>
      <c r="B44" s="22" t="n"/>
      <c r="C44" s="30">
        <f>IF(OR(B44="",B43=""),"",B44-B43)</f>
        <v/>
      </c>
      <c r="D44" s="31">
        <f>IF(B44="","",IF(ISNUMBER(C44),IF(C44&lt;0,N(D43)+1,0),0))</f>
        <v/>
      </c>
      <c r="E44" s="32">
        <f>IF(B44="","",IF(ISNUMBER($C$8),IF(D44&gt;=$C$8,D44&amp;" baisses de suite",IF(ISNUMBER($C$7),IF(B44&lt;$C$7,"Sous le seuil",""),"")),IF(ISNUMBER($C$7),IF(B44&lt;$C$7,"Sous le seuil",""),"")))</f>
        <v/>
      </c>
      <c r="F44" s="32" t="n"/>
      <c r="G44" s="33">
        <f>IF(COUNT('Règle du lundi (retards)'!$C$170:$C$174)=0,"",SUM('Règle du lundi (retards)'!$C$170:$C$174))</f>
        <v/>
      </c>
      <c r="H44" s="30">
        <f>IF(OR(G44="",G43=""),"",G44-G43)</f>
        <v/>
      </c>
      <c r="I44" s="31">
        <f>IF(G44="","",COUNTIF('Règle du lundi (retards)'!$F$170:$F$174,"Revient : appeler"))</f>
        <v/>
      </c>
      <c r="J44" s="14" t="n"/>
      <c r="K44" s="14" t="n"/>
      <c r="L44" s="14" t="n"/>
      <c r="M44" s="14" t="n"/>
      <c r="U44" s="9">
        <f>IF(B44="","",33)</f>
        <v/>
      </c>
    </row>
    <row r="45" ht="16" customHeight="1">
      <c r="A45" s="29">
        <f>IF($C$6="","",$C$6+231)</f>
        <v/>
      </c>
      <c r="B45" s="22" t="n"/>
      <c r="C45" s="30">
        <f>IF(OR(B45="",B44=""),"",B45-B44)</f>
        <v/>
      </c>
      <c r="D45" s="31">
        <f>IF(B45="","",IF(ISNUMBER(C45),IF(C45&lt;0,N(D44)+1,0),0))</f>
        <v/>
      </c>
      <c r="E45" s="32">
        <f>IF(B45="","",IF(ISNUMBER($C$8),IF(D45&gt;=$C$8,D45&amp;" baisses de suite",IF(ISNUMBER($C$7),IF(B45&lt;$C$7,"Sous le seuil",""),"")),IF(ISNUMBER($C$7),IF(B45&lt;$C$7,"Sous le seuil",""),"")))</f>
        <v/>
      </c>
      <c r="F45" s="32" t="n"/>
      <c r="G45" s="33">
        <f>IF(COUNT('Règle du lundi (retards)'!$C$175:$C$179)=0,"",SUM('Règle du lundi (retards)'!$C$175:$C$179))</f>
        <v/>
      </c>
      <c r="H45" s="30">
        <f>IF(OR(G45="",G44=""),"",G45-G44)</f>
        <v/>
      </c>
      <c r="I45" s="31">
        <f>IF(G45="","",COUNTIF('Règle du lundi (retards)'!$F$175:$F$179,"Revient : appeler"))</f>
        <v/>
      </c>
      <c r="J45" s="14" t="n"/>
      <c r="K45" s="14" t="n"/>
      <c r="L45" s="14" t="n"/>
      <c r="M45" s="14" t="n"/>
      <c r="U45" s="9">
        <f>IF(B45="","",34)</f>
        <v/>
      </c>
    </row>
    <row r="46" ht="16" customHeight="1">
      <c r="A46" s="29">
        <f>IF($C$6="","",$C$6+238)</f>
        <v/>
      </c>
      <c r="B46" s="22" t="n"/>
      <c r="C46" s="30">
        <f>IF(OR(B46="",B45=""),"",B46-B45)</f>
        <v/>
      </c>
      <c r="D46" s="31">
        <f>IF(B46="","",IF(ISNUMBER(C46),IF(C46&lt;0,N(D45)+1,0),0))</f>
        <v/>
      </c>
      <c r="E46" s="32">
        <f>IF(B46="","",IF(ISNUMBER($C$8),IF(D46&gt;=$C$8,D46&amp;" baisses de suite",IF(ISNUMBER($C$7),IF(B46&lt;$C$7,"Sous le seuil",""),"")),IF(ISNUMBER($C$7),IF(B46&lt;$C$7,"Sous le seuil",""),"")))</f>
        <v/>
      </c>
      <c r="F46" s="32" t="n"/>
      <c r="G46" s="33">
        <f>IF(COUNT('Règle du lundi (retards)'!$C$180:$C$184)=0,"",SUM('Règle du lundi (retards)'!$C$180:$C$184))</f>
        <v/>
      </c>
      <c r="H46" s="30">
        <f>IF(OR(G46="",G45=""),"",G46-G45)</f>
        <v/>
      </c>
      <c r="I46" s="31">
        <f>IF(G46="","",COUNTIF('Règle du lundi (retards)'!$F$180:$F$184,"Revient : appeler"))</f>
        <v/>
      </c>
      <c r="J46" s="14" t="n"/>
      <c r="K46" s="14" t="n"/>
      <c r="L46" s="14" t="n"/>
      <c r="M46" s="14" t="n"/>
      <c r="U46" s="9">
        <f>IF(B46="","",35)</f>
        <v/>
      </c>
    </row>
    <row r="47" ht="16" customHeight="1">
      <c r="A47" s="29">
        <f>IF($C$6="","",$C$6+245)</f>
        <v/>
      </c>
      <c r="B47" s="22" t="n"/>
      <c r="C47" s="30">
        <f>IF(OR(B47="",B46=""),"",B47-B46)</f>
        <v/>
      </c>
      <c r="D47" s="31">
        <f>IF(B47="","",IF(ISNUMBER(C47),IF(C47&lt;0,N(D46)+1,0),0))</f>
        <v/>
      </c>
      <c r="E47" s="32">
        <f>IF(B47="","",IF(ISNUMBER($C$8),IF(D47&gt;=$C$8,D47&amp;" baisses de suite",IF(ISNUMBER($C$7),IF(B47&lt;$C$7,"Sous le seuil",""),"")),IF(ISNUMBER($C$7),IF(B47&lt;$C$7,"Sous le seuil",""),"")))</f>
        <v/>
      </c>
      <c r="F47" s="32" t="n"/>
      <c r="G47" s="33">
        <f>IF(COUNT('Règle du lundi (retards)'!$C$185:$C$189)=0,"",SUM('Règle du lundi (retards)'!$C$185:$C$189))</f>
        <v/>
      </c>
      <c r="H47" s="30">
        <f>IF(OR(G47="",G46=""),"",G47-G46)</f>
        <v/>
      </c>
      <c r="I47" s="31">
        <f>IF(G47="","",COUNTIF('Règle du lundi (retards)'!$F$185:$F$189,"Revient : appeler"))</f>
        <v/>
      </c>
      <c r="J47" s="14" t="n"/>
      <c r="K47" s="14" t="n"/>
      <c r="L47" s="14" t="n"/>
      <c r="M47" s="14" t="n"/>
      <c r="U47" s="9">
        <f>IF(B47="","",36)</f>
        <v/>
      </c>
    </row>
    <row r="48" ht="16" customHeight="1">
      <c r="A48" s="29">
        <f>IF($C$6="","",$C$6+252)</f>
        <v/>
      </c>
      <c r="B48" s="22" t="n"/>
      <c r="C48" s="30">
        <f>IF(OR(B48="",B47=""),"",B48-B47)</f>
        <v/>
      </c>
      <c r="D48" s="31">
        <f>IF(B48="","",IF(ISNUMBER(C48),IF(C48&lt;0,N(D47)+1,0),0))</f>
        <v/>
      </c>
      <c r="E48" s="32">
        <f>IF(B48="","",IF(ISNUMBER($C$8),IF(D48&gt;=$C$8,D48&amp;" baisses de suite",IF(ISNUMBER($C$7),IF(B48&lt;$C$7,"Sous le seuil",""),"")),IF(ISNUMBER($C$7),IF(B48&lt;$C$7,"Sous le seuil",""),"")))</f>
        <v/>
      </c>
      <c r="F48" s="32" t="n"/>
      <c r="G48" s="33">
        <f>IF(COUNT('Règle du lundi (retards)'!$C$190:$C$194)=0,"",SUM('Règle du lundi (retards)'!$C$190:$C$194))</f>
        <v/>
      </c>
      <c r="H48" s="30">
        <f>IF(OR(G48="",G47=""),"",G48-G47)</f>
        <v/>
      </c>
      <c r="I48" s="31">
        <f>IF(G48="","",COUNTIF('Règle du lundi (retards)'!$F$190:$F$194,"Revient : appeler"))</f>
        <v/>
      </c>
      <c r="J48" s="14" t="n"/>
      <c r="K48" s="14" t="n"/>
      <c r="L48" s="14" t="n"/>
      <c r="M48" s="14" t="n"/>
      <c r="U48" s="9">
        <f>IF(B48="","",37)</f>
        <v/>
      </c>
    </row>
    <row r="49" ht="16" customHeight="1">
      <c r="A49" s="29">
        <f>IF($C$6="","",$C$6+259)</f>
        <v/>
      </c>
      <c r="B49" s="22" t="n"/>
      <c r="C49" s="30">
        <f>IF(OR(B49="",B48=""),"",B49-B48)</f>
        <v/>
      </c>
      <c r="D49" s="31">
        <f>IF(B49="","",IF(ISNUMBER(C49),IF(C49&lt;0,N(D48)+1,0),0))</f>
        <v/>
      </c>
      <c r="E49" s="32">
        <f>IF(B49="","",IF(ISNUMBER($C$8),IF(D49&gt;=$C$8,D49&amp;" baisses de suite",IF(ISNUMBER($C$7),IF(B49&lt;$C$7,"Sous le seuil",""),"")),IF(ISNUMBER($C$7),IF(B49&lt;$C$7,"Sous le seuil",""),"")))</f>
        <v/>
      </c>
      <c r="F49" s="32" t="n"/>
      <c r="G49" s="33">
        <f>IF(COUNT('Règle du lundi (retards)'!$C$195:$C$199)=0,"",SUM('Règle du lundi (retards)'!$C$195:$C$199))</f>
        <v/>
      </c>
      <c r="H49" s="30">
        <f>IF(OR(G49="",G48=""),"",G49-G48)</f>
        <v/>
      </c>
      <c r="I49" s="31">
        <f>IF(G49="","",COUNTIF('Règle du lundi (retards)'!$F$195:$F$199,"Revient : appeler"))</f>
        <v/>
      </c>
      <c r="J49" s="14" t="n"/>
      <c r="K49" s="14" t="n"/>
      <c r="L49" s="14" t="n"/>
      <c r="M49" s="14" t="n"/>
      <c r="U49" s="9">
        <f>IF(B49="","",38)</f>
        <v/>
      </c>
    </row>
    <row r="50" ht="16" customHeight="1">
      <c r="A50" s="29">
        <f>IF($C$6="","",$C$6+266)</f>
        <v/>
      </c>
      <c r="B50" s="22" t="n"/>
      <c r="C50" s="30">
        <f>IF(OR(B50="",B49=""),"",B50-B49)</f>
        <v/>
      </c>
      <c r="D50" s="31">
        <f>IF(B50="","",IF(ISNUMBER(C50),IF(C50&lt;0,N(D49)+1,0),0))</f>
        <v/>
      </c>
      <c r="E50" s="32">
        <f>IF(B50="","",IF(ISNUMBER($C$8),IF(D50&gt;=$C$8,D50&amp;" baisses de suite",IF(ISNUMBER($C$7),IF(B50&lt;$C$7,"Sous le seuil",""),"")),IF(ISNUMBER($C$7),IF(B50&lt;$C$7,"Sous le seuil",""),"")))</f>
        <v/>
      </c>
      <c r="F50" s="32" t="n"/>
      <c r="G50" s="33">
        <f>IF(COUNT('Règle du lundi (retards)'!$C$200:$C$204)=0,"",SUM('Règle du lundi (retards)'!$C$200:$C$204))</f>
        <v/>
      </c>
      <c r="H50" s="30">
        <f>IF(OR(G50="",G49=""),"",G50-G49)</f>
        <v/>
      </c>
      <c r="I50" s="31">
        <f>IF(G50="","",COUNTIF('Règle du lundi (retards)'!$F$200:$F$204,"Revient : appeler"))</f>
        <v/>
      </c>
      <c r="J50" s="14" t="n"/>
      <c r="K50" s="14" t="n"/>
      <c r="L50" s="14" t="n"/>
      <c r="M50" s="14" t="n"/>
      <c r="U50" s="9">
        <f>IF(B50="","",39)</f>
        <v/>
      </c>
    </row>
    <row r="51" ht="16" customHeight="1">
      <c r="A51" s="29">
        <f>IF($C$6="","",$C$6+273)</f>
        <v/>
      </c>
      <c r="B51" s="22" t="n"/>
      <c r="C51" s="30">
        <f>IF(OR(B51="",B50=""),"",B51-B50)</f>
        <v/>
      </c>
      <c r="D51" s="31">
        <f>IF(B51="","",IF(ISNUMBER(C51),IF(C51&lt;0,N(D50)+1,0),0))</f>
        <v/>
      </c>
      <c r="E51" s="32">
        <f>IF(B51="","",IF(ISNUMBER($C$8),IF(D51&gt;=$C$8,D51&amp;" baisses de suite",IF(ISNUMBER($C$7),IF(B51&lt;$C$7,"Sous le seuil",""),"")),IF(ISNUMBER($C$7),IF(B51&lt;$C$7,"Sous le seuil",""),"")))</f>
        <v/>
      </c>
      <c r="F51" s="32" t="n"/>
      <c r="G51" s="33">
        <f>IF(COUNT('Règle du lundi (retards)'!$C$205:$C$209)=0,"",SUM('Règle du lundi (retards)'!$C$205:$C$209))</f>
        <v/>
      </c>
      <c r="H51" s="30">
        <f>IF(OR(G51="",G50=""),"",G51-G50)</f>
        <v/>
      </c>
      <c r="I51" s="31">
        <f>IF(G51="","",COUNTIF('Règle du lundi (retards)'!$F$205:$F$209,"Revient : appeler"))</f>
        <v/>
      </c>
      <c r="J51" s="14" t="n"/>
      <c r="K51" s="14" t="n"/>
      <c r="L51" s="14" t="n"/>
      <c r="M51" s="14" t="n"/>
      <c r="U51" s="9">
        <f>IF(B51="","",40)</f>
        <v/>
      </c>
    </row>
    <row r="52" ht="16" customHeight="1">
      <c r="A52" s="29">
        <f>IF($C$6="","",$C$6+280)</f>
        <v/>
      </c>
      <c r="B52" s="22" t="n"/>
      <c r="C52" s="30">
        <f>IF(OR(B52="",B51=""),"",B52-B51)</f>
        <v/>
      </c>
      <c r="D52" s="31">
        <f>IF(B52="","",IF(ISNUMBER(C52),IF(C52&lt;0,N(D51)+1,0),0))</f>
        <v/>
      </c>
      <c r="E52" s="32">
        <f>IF(B52="","",IF(ISNUMBER($C$8),IF(D52&gt;=$C$8,D52&amp;" baisses de suite",IF(ISNUMBER($C$7),IF(B52&lt;$C$7,"Sous le seuil",""),"")),IF(ISNUMBER($C$7),IF(B52&lt;$C$7,"Sous le seuil",""),"")))</f>
        <v/>
      </c>
      <c r="F52" s="32" t="n"/>
      <c r="G52" s="33">
        <f>IF(COUNT('Règle du lundi (retards)'!$C$210:$C$214)=0,"",SUM('Règle du lundi (retards)'!$C$210:$C$214))</f>
        <v/>
      </c>
      <c r="H52" s="30">
        <f>IF(OR(G52="",G51=""),"",G52-G51)</f>
        <v/>
      </c>
      <c r="I52" s="31">
        <f>IF(G52="","",COUNTIF('Règle du lundi (retards)'!$F$210:$F$214,"Revient : appeler"))</f>
        <v/>
      </c>
      <c r="J52" s="14" t="n"/>
      <c r="K52" s="14" t="n"/>
      <c r="L52" s="14" t="n"/>
      <c r="M52" s="14" t="n"/>
      <c r="U52" s="9">
        <f>IF(B52="","",41)</f>
        <v/>
      </c>
    </row>
    <row r="53" ht="16" customHeight="1">
      <c r="A53" s="29">
        <f>IF($C$6="","",$C$6+287)</f>
        <v/>
      </c>
      <c r="B53" s="22" t="n"/>
      <c r="C53" s="30">
        <f>IF(OR(B53="",B52=""),"",B53-B52)</f>
        <v/>
      </c>
      <c r="D53" s="31">
        <f>IF(B53="","",IF(ISNUMBER(C53),IF(C53&lt;0,N(D52)+1,0),0))</f>
        <v/>
      </c>
      <c r="E53" s="32">
        <f>IF(B53="","",IF(ISNUMBER($C$8),IF(D53&gt;=$C$8,D53&amp;" baisses de suite",IF(ISNUMBER($C$7),IF(B53&lt;$C$7,"Sous le seuil",""),"")),IF(ISNUMBER($C$7),IF(B53&lt;$C$7,"Sous le seuil",""),"")))</f>
        <v/>
      </c>
      <c r="F53" s="32" t="n"/>
      <c r="G53" s="33">
        <f>IF(COUNT('Règle du lundi (retards)'!$C$215:$C$219)=0,"",SUM('Règle du lundi (retards)'!$C$215:$C$219))</f>
        <v/>
      </c>
      <c r="H53" s="30">
        <f>IF(OR(G53="",G52=""),"",G53-G52)</f>
        <v/>
      </c>
      <c r="I53" s="31">
        <f>IF(G53="","",COUNTIF('Règle du lundi (retards)'!$F$215:$F$219,"Revient : appeler"))</f>
        <v/>
      </c>
      <c r="J53" s="14" t="n"/>
      <c r="K53" s="14" t="n"/>
      <c r="L53" s="14" t="n"/>
      <c r="M53" s="14" t="n"/>
      <c r="U53" s="9">
        <f>IF(B53="","",42)</f>
        <v/>
      </c>
    </row>
    <row r="54" ht="16" customHeight="1">
      <c r="A54" s="29">
        <f>IF($C$6="","",$C$6+294)</f>
        <v/>
      </c>
      <c r="B54" s="22" t="n"/>
      <c r="C54" s="30">
        <f>IF(OR(B54="",B53=""),"",B54-B53)</f>
        <v/>
      </c>
      <c r="D54" s="31">
        <f>IF(B54="","",IF(ISNUMBER(C54),IF(C54&lt;0,N(D53)+1,0),0))</f>
        <v/>
      </c>
      <c r="E54" s="32">
        <f>IF(B54="","",IF(ISNUMBER($C$8),IF(D54&gt;=$C$8,D54&amp;" baisses de suite",IF(ISNUMBER($C$7),IF(B54&lt;$C$7,"Sous le seuil",""),"")),IF(ISNUMBER($C$7),IF(B54&lt;$C$7,"Sous le seuil",""),"")))</f>
        <v/>
      </c>
      <c r="F54" s="32" t="n"/>
      <c r="G54" s="33">
        <f>IF(COUNT('Règle du lundi (retards)'!$C$220:$C$224)=0,"",SUM('Règle du lundi (retards)'!$C$220:$C$224))</f>
        <v/>
      </c>
      <c r="H54" s="30">
        <f>IF(OR(G54="",G53=""),"",G54-G53)</f>
        <v/>
      </c>
      <c r="I54" s="31">
        <f>IF(G54="","",COUNTIF('Règle du lundi (retards)'!$F$220:$F$224,"Revient : appeler"))</f>
        <v/>
      </c>
      <c r="J54" s="14" t="n"/>
      <c r="K54" s="14" t="n"/>
      <c r="L54" s="14" t="n"/>
      <c r="M54" s="14" t="n"/>
      <c r="U54" s="9">
        <f>IF(B54="","",43)</f>
        <v/>
      </c>
    </row>
    <row r="55" ht="16" customHeight="1">
      <c r="A55" s="29">
        <f>IF($C$6="","",$C$6+301)</f>
        <v/>
      </c>
      <c r="B55" s="22" t="n"/>
      <c r="C55" s="30">
        <f>IF(OR(B55="",B54=""),"",B55-B54)</f>
        <v/>
      </c>
      <c r="D55" s="31">
        <f>IF(B55="","",IF(ISNUMBER(C55),IF(C55&lt;0,N(D54)+1,0),0))</f>
        <v/>
      </c>
      <c r="E55" s="32">
        <f>IF(B55="","",IF(ISNUMBER($C$8),IF(D55&gt;=$C$8,D55&amp;" baisses de suite",IF(ISNUMBER($C$7),IF(B55&lt;$C$7,"Sous le seuil",""),"")),IF(ISNUMBER($C$7),IF(B55&lt;$C$7,"Sous le seuil",""),"")))</f>
        <v/>
      </c>
      <c r="F55" s="32" t="n"/>
      <c r="G55" s="33">
        <f>IF(COUNT('Règle du lundi (retards)'!$C$225:$C$229)=0,"",SUM('Règle du lundi (retards)'!$C$225:$C$229))</f>
        <v/>
      </c>
      <c r="H55" s="30">
        <f>IF(OR(G55="",G54=""),"",G55-G54)</f>
        <v/>
      </c>
      <c r="I55" s="31">
        <f>IF(G55="","",COUNTIF('Règle du lundi (retards)'!$F$225:$F$229,"Revient : appeler"))</f>
        <v/>
      </c>
      <c r="J55" s="14" t="n"/>
      <c r="K55" s="14" t="n"/>
      <c r="L55" s="14" t="n"/>
      <c r="M55" s="14" t="n"/>
      <c r="U55" s="9">
        <f>IF(B55="","",44)</f>
        <v/>
      </c>
    </row>
    <row r="56" ht="16" customHeight="1">
      <c r="A56" s="29">
        <f>IF($C$6="","",$C$6+308)</f>
        <v/>
      </c>
      <c r="B56" s="22" t="n"/>
      <c r="C56" s="30">
        <f>IF(OR(B56="",B55=""),"",B56-B55)</f>
        <v/>
      </c>
      <c r="D56" s="31">
        <f>IF(B56="","",IF(ISNUMBER(C56),IF(C56&lt;0,N(D55)+1,0),0))</f>
        <v/>
      </c>
      <c r="E56" s="32">
        <f>IF(B56="","",IF(ISNUMBER($C$8),IF(D56&gt;=$C$8,D56&amp;" baisses de suite",IF(ISNUMBER($C$7),IF(B56&lt;$C$7,"Sous le seuil",""),"")),IF(ISNUMBER($C$7),IF(B56&lt;$C$7,"Sous le seuil",""),"")))</f>
        <v/>
      </c>
      <c r="F56" s="32" t="n"/>
      <c r="G56" s="33">
        <f>IF(COUNT('Règle du lundi (retards)'!$C$230:$C$234)=0,"",SUM('Règle du lundi (retards)'!$C$230:$C$234))</f>
        <v/>
      </c>
      <c r="H56" s="30">
        <f>IF(OR(G56="",G55=""),"",G56-G55)</f>
        <v/>
      </c>
      <c r="I56" s="31">
        <f>IF(G56="","",COUNTIF('Règle du lundi (retards)'!$F$230:$F$234,"Revient : appeler"))</f>
        <v/>
      </c>
      <c r="J56" s="14" t="n"/>
      <c r="K56" s="14" t="n"/>
      <c r="L56" s="14" t="n"/>
      <c r="M56" s="14" t="n"/>
      <c r="U56" s="9">
        <f>IF(B56="","",45)</f>
        <v/>
      </c>
    </row>
    <row r="57" ht="16" customHeight="1">
      <c r="A57" s="29">
        <f>IF($C$6="","",$C$6+315)</f>
        <v/>
      </c>
      <c r="B57" s="22" t="n"/>
      <c r="C57" s="30">
        <f>IF(OR(B57="",B56=""),"",B57-B56)</f>
        <v/>
      </c>
      <c r="D57" s="31">
        <f>IF(B57="","",IF(ISNUMBER(C57),IF(C57&lt;0,N(D56)+1,0),0))</f>
        <v/>
      </c>
      <c r="E57" s="32">
        <f>IF(B57="","",IF(ISNUMBER($C$8),IF(D57&gt;=$C$8,D57&amp;" baisses de suite",IF(ISNUMBER($C$7),IF(B57&lt;$C$7,"Sous le seuil",""),"")),IF(ISNUMBER($C$7),IF(B57&lt;$C$7,"Sous le seuil",""),"")))</f>
        <v/>
      </c>
      <c r="F57" s="32" t="n"/>
      <c r="G57" s="33">
        <f>IF(COUNT('Règle du lundi (retards)'!$C$235:$C$239)=0,"",SUM('Règle du lundi (retards)'!$C$235:$C$239))</f>
        <v/>
      </c>
      <c r="H57" s="30">
        <f>IF(OR(G57="",G56=""),"",G57-G56)</f>
        <v/>
      </c>
      <c r="I57" s="31">
        <f>IF(G57="","",COUNTIF('Règle du lundi (retards)'!$F$235:$F$239,"Revient : appeler"))</f>
        <v/>
      </c>
      <c r="J57" s="14" t="n"/>
      <c r="K57" s="14" t="n"/>
      <c r="L57" s="14" t="n"/>
      <c r="M57" s="14" t="n"/>
      <c r="U57" s="9">
        <f>IF(B57="","",46)</f>
        <v/>
      </c>
    </row>
    <row r="58" ht="16" customHeight="1">
      <c r="A58" s="29">
        <f>IF($C$6="","",$C$6+322)</f>
        <v/>
      </c>
      <c r="B58" s="22" t="n"/>
      <c r="C58" s="30">
        <f>IF(OR(B58="",B57=""),"",B58-B57)</f>
        <v/>
      </c>
      <c r="D58" s="31">
        <f>IF(B58="","",IF(ISNUMBER(C58),IF(C58&lt;0,N(D57)+1,0),0))</f>
        <v/>
      </c>
      <c r="E58" s="32">
        <f>IF(B58="","",IF(ISNUMBER($C$8),IF(D58&gt;=$C$8,D58&amp;" baisses de suite",IF(ISNUMBER($C$7),IF(B58&lt;$C$7,"Sous le seuil",""),"")),IF(ISNUMBER($C$7),IF(B58&lt;$C$7,"Sous le seuil",""),"")))</f>
        <v/>
      </c>
      <c r="F58" s="32" t="n"/>
      <c r="G58" s="33">
        <f>IF(COUNT('Règle du lundi (retards)'!$C$240:$C$244)=0,"",SUM('Règle du lundi (retards)'!$C$240:$C$244))</f>
        <v/>
      </c>
      <c r="H58" s="30">
        <f>IF(OR(G58="",G57=""),"",G58-G57)</f>
        <v/>
      </c>
      <c r="I58" s="31">
        <f>IF(G58="","",COUNTIF('Règle du lundi (retards)'!$F$240:$F$244,"Revient : appeler"))</f>
        <v/>
      </c>
      <c r="J58" s="14" t="n"/>
      <c r="K58" s="14" t="n"/>
      <c r="L58" s="14" t="n"/>
      <c r="M58" s="14" t="n"/>
      <c r="U58" s="9">
        <f>IF(B58="","",47)</f>
        <v/>
      </c>
    </row>
    <row r="59" ht="16" customHeight="1">
      <c r="A59" s="29">
        <f>IF($C$6="","",$C$6+329)</f>
        <v/>
      </c>
      <c r="B59" s="22" t="n"/>
      <c r="C59" s="30">
        <f>IF(OR(B59="",B58=""),"",B59-B58)</f>
        <v/>
      </c>
      <c r="D59" s="31">
        <f>IF(B59="","",IF(ISNUMBER(C59),IF(C59&lt;0,N(D58)+1,0),0))</f>
        <v/>
      </c>
      <c r="E59" s="32">
        <f>IF(B59="","",IF(ISNUMBER($C$8),IF(D59&gt;=$C$8,D59&amp;" baisses de suite",IF(ISNUMBER($C$7),IF(B59&lt;$C$7,"Sous le seuil",""),"")),IF(ISNUMBER($C$7),IF(B59&lt;$C$7,"Sous le seuil",""),"")))</f>
        <v/>
      </c>
      <c r="F59" s="32" t="n"/>
      <c r="G59" s="33">
        <f>IF(COUNT('Règle du lundi (retards)'!$C$245:$C$249)=0,"",SUM('Règle du lundi (retards)'!$C$245:$C$249))</f>
        <v/>
      </c>
      <c r="H59" s="30">
        <f>IF(OR(G59="",G58=""),"",G59-G58)</f>
        <v/>
      </c>
      <c r="I59" s="31">
        <f>IF(G59="","",COUNTIF('Règle du lundi (retards)'!$F$245:$F$249,"Revient : appeler"))</f>
        <v/>
      </c>
      <c r="J59" s="14" t="n"/>
      <c r="K59" s="14" t="n"/>
      <c r="L59" s="14" t="n"/>
      <c r="M59" s="14" t="n"/>
      <c r="U59" s="9">
        <f>IF(B59="","",48)</f>
        <v/>
      </c>
    </row>
    <row r="60" ht="16" customHeight="1">
      <c r="A60" s="29">
        <f>IF($C$6="","",$C$6+336)</f>
        <v/>
      </c>
      <c r="B60" s="22" t="n"/>
      <c r="C60" s="30">
        <f>IF(OR(B60="",B59=""),"",B60-B59)</f>
        <v/>
      </c>
      <c r="D60" s="31">
        <f>IF(B60="","",IF(ISNUMBER(C60),IF(C60&lt;0,N(D59)+1,0),0))</f>
        <v/>
      </c>
      <c r="E60" s="32">
        <f>IF(B60="","",IF(ISNUMBER($C$8),IF(D60&gt;=$C$8,D60&amp;" baisses de suite",IF(ISNUMBER($C$7),IF(B60&lt;$C$7,"Sous le seuil",""),"")),IF(ISNUMBER($C$7),IF(B60&lt;$C$7,"Sous le seuil",""),"")))</f>
        <v/>
      </c>
      <c r="F60" s="32" t="n"/>
      <c r="G60" s="33">
        <f>IF(COUNT('Règle du lundi (retards)'!$C$250:$C$254)=0,"",SUM('Règle du lundi (retards)'!$C$250:$C$254))</f>
        <v/>
      </c>
      <c r="H60" s="30">
        <f>IF(OR(G60="",G59=""),"",G60-G59)</f>
        <v/>
      </c>
      <c r="I60" s="31">
        <f>IF(G60="","",COUNTIF('Règle du lundi (retards)'!$F$250:$F$254,"Revient : appeler"))</f>
        <v/>
      </c>
      <c r="J60" s="14" t="n"/>
      <c r="K60" s="14" t="n"/>
      <c r="L60" s="14" t="n"/>
      <c r="M60" s="14" t="n"/>
      <c r="U60" s="9">
        <f>IF(B60="","",49)</f>
        <v/>
      </c>
    </row>
    <row r="61" ht="16" customHeight="1">
      <c r="A61" s="29">
        <f>IF($C$6="","",$C$6+343)</f>
        <v/>
      </c>
      <c r="B61" s="22" t="n"/>
      <c r="C61" s="30">
        <f>IF(OR(B61="",B60=""),"",B61-B60)</f>
        <v/>
      </c>
      <c r="D61" s="31">
        <f>IF(B61="","",IF(ISNUMBER(C61),IF(C61&lt;0,N(D60)+1,0),0))</f>
        <v/>
      </c>
      <c r="E61" s="32">
        <f>IF(B61="","",IF(ISNUMBER($C$8),IF(D61&gt;=$C$8,D61&amp;" baisses de suite",IF(ISNUMBER($C$7),IF(B61&lt;$C$7,"Sous le seuil",""),"")),IF(ISNUMBER($C$7),IF(B61&lt;$C$7,"Sous le seuil",""),"")))</f>
        <v/>
      </c>
      <c r="F61" s="32" t="n"/>
      <c r="G61" s="33">
        <f>IF(COUNT('Règle du lundi (retards)'!$C$255:$C$259)=0,"",SUM('Règle du lundi (retards)'!$C$255:$C$259))</f>
        <v/>
      </c>
      <c r="H61" s="30">
        <f>IF(OR(G61="",G60=""),"",G61-G60)</f>
        <v/>
      </c>
      <c r="I61" s="31">
        <f>IF(G61="","",COUNTIF('Règle du lundi (retards)'!$F$255:$F$259,"Revient : appeler"))</f>
        <v/>
      </c>
      <c r="J61" s="14" t="n"/>
      <c r="K61" s="14" t="n"/>
      <c r="L61" s="14" t="n"/>
      <c r="M61" s="14" t="n"/>
      <c r="U61" s="9">
        <f>IF(B61="","",50)</f>
        <v/>
      </c>
    </row>
    <row r="62" ht="16" customHeight="1">
      <c r="A62" s="29">
        <f>IF($C$6="","",$C$6+350)</f>
        <v/>
      </c>
      <c r="B62" s="22" t="n"/>
      <c r="C62" s="30">
        <f>IF(OR(B62="",B61=""),"",B62-B61)</f>
        <v/>
      </c>
      <c r="D62" s="31">
        <f>IF(B62="","",IF(ISNUMBER(C62),IF(C62&lt;0,N(D61)+1,0),0))</f>
        <v/>
      </c>
      <c r="E62" s="32">
        <f>IF(B62="","",IF(ISNUMBER($C$8),IF(D62&gt;=$C$8,D62&amp;" baisses de suite",IF(ISNUMBER($C$7),IF(B62&lt;$C$7,"Sous le seuil",""),"")),IF(ISNUMBER($C$7),IF(B62&lt;$C$7,"Sous le seuil",""),"")))</f>
        <v/>
      </c>
      <c r="F62" s="32" t="n"/>
      <c r="G62" s="33">
        <f>IF(COUNT('Règle du lundi (retards)'!$C$260:$C$264)=0,"",SUM('Règle du lundi (retards)'!$C$260:$C$264))</f>
        <v/>
      </c>
      <c r="H62" s="30">
        <f>IF(OR(G62="",G61=""),"",G62-G61)</f>
        <v/>
      </c>
      <c r="I62" s="31">
        <f>IF(G62="","",COUNTIF('Règle du lundi (retards)'!$F$260:$F$264,"Revient : appeler"))</f>
        <v/>
      </c>
      <c r="J62" s="14" t="n"/>
      <c r="K62" s="14" t="n"/>
      <c r="L62" s="14" t="n"/>
      <c r="M62" s="14" t="n"/>
      <c r="U62" s="9">
        <f>IF(B62="","",51)</f>
        <v/>
      </c>
    </row>
    <row r="63" ht="16" customHeight="1">
      <c r="A63" s="29">
        <f>IF($C$6="","",$C$6+357)</f>
        <v/>
      </c>
      <c r="B63" s="22" t="n"/>
      <c r="C63" s="30">
        <f>IF(OR(B63="",B62=""),"",B63-B62)</f>
        <v/>
      </c>
      <c r="D63" s="31">
        <f>IF(B63="","",IF(ISNUMBER(C63),IF(C63&lt;0,N(D62)+1,0),0))</f>
        <v/>
      </c>
      <c r="E63" s="32">
        <f>IF(B63="","",IF(ISNUMBER($C$8),IF(D63&gt;=$C$8,D63&amp;" baisses de suite",IF(ISNUMBER($C$7),IF(B63&lt;$C$7,"Sous le seuil",""),"")),IF(ISNUMBER($C$7),IF(B63&lt;$C$7,"Sous le seuil",""),"")))</f>
        <v/>
      </c>
      <c r="F63" s="32" t="n"/>
      <c r="G63" s="33">
        <f>IF(COUNT('Règle du lundi (retards)'!$C$265:$C$269)=0,"",SUM('Règle du lundi (retards)'!$C$265:$C$269))</f>
        <v/>
      </c>
      <c r="H63" s="30">
        <f>IF(OR(G63="",G62=""),"",G63-G62)</f>
        <v/>
      </c>
      <c r="I63" s="31">
        <f>IF(G63="","",COUNTIF('Règle du lundi (retards)'!$F$265:$F$269,"Revient : appeler"))</f>
        <v/>
      </c>
      <c r="J63" s="14" t="n"/>
      <c r="K63" s="14" t="n"/>
      <c r="L63" s="14" t="n"/>
      <c r="M63" s="14" t="n"/>
      <c r="U63" s="9">
        <f>IF(B63="","",52)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22">
    <mergeCell ref="E62:F62"/>
    <mergeCell ref="J56:M56"/>
    <mergeCell ref="J43:M43"/>
    <mergeCell ref="E23:F23"/>
    <mergeCell ref="J18:M18"/>
    <mergeCell ref="J33:M33"/>
    <mergeCell ref="J42:M42"/>
    <mergeCell ref="E51:F51"/>
    <mergeCell ref="A7:B7"/>
    <mergeCell ref="J17:M17"/>
    <mergeCell ref="E63:F63"/>
    <mergeCell ref="J44:M44"/>
    <mergeCell ref="J19:M19"/>
    <mergeCell ref="E34:F34"/>
    <mergeCell ref="J28:M28"/>
    <mergeCell ref="J59:M59"/>
    <mergeCell ref="J60:M60"/>
    <mergeCell ref="E49:F49"/>
    <mergeCell ref="A2:K2"/>
    <mergeCell ref="E27:F27"/>
    <mergeCell ref="E36:F36"/>
    <mergeCell ref="J30:M30"/>
    <mergeCell ref="J53:M53"/>
    <mergeCell ref="J45:M45"/>
    <mergeCell ref="J55:M55"/>
    <mergeCell ref="E22:F22"/>
    <mergeCell ref="E53:F53"/>
    <mergeCell ref="E12:F12"/>
    <mergeCell ref="E55:F55"/>
    <mergeCell ref="G6:I6"/>
    <mergeCell ref="J47:M47"/>
    <mergeCell ref="E14:F14"/>
    <mergeCell ref="E48:F48"/>
    <mergeCell ref="J62:M62"/>
    <mergeCell ref="J23:M23"/>
    <mergeCell ref="J58:M58"/>
    <mergeCell ref="E38:F38"/>
    <mergeCell ref="G4:I4"/>
    <mergeCell ref="E40:F40"/>
    <mergeCell ref="J57:M57"/>
    <mergeCell ref="D5:F5"/>
    <mergeCell ref="J34:M34"/>
    <mergeCell ref="E26:F26"/>
    <mergeCell ref="A8:B8"/>
    <mergeCell ref="J49:M49"/>
    <mergeCell ref="J27:M27"/>
    <mergeCell ref="J36:M36"/>
    <mergeCell ref="E16:F16"/>
    <mergeCell ref="E25:F25"/>
    <mergeCell ref="J11:M11"/>
    <mergeCell ref="J20:M20"/>
    <mergeCell ref="G8:I8"/>
    <mergeCell ref="E18:F18"/>
    <mergeCell ref="E58:F58"/>
    <mergeCell ref="E50:F50"/>
    <mergeCell ref="J22:M22"/>
    <mergeCell ref="J31:M31"/>
    <mergeCell ref="J12:M12"/>
    <mergeCell ref="J46:M46"/>
    <mergeCell ref="J21:M21"/>
    <mergeCell ref="E52:F52"/>
    <mergeCell ref="D7:F7"/>
    <mergeCell ref="J51:M51"/>
    <mergeCell ref="E39:F39"/>
    <mergeCell ref="E44:F44"/>
    <mergeCell ref="J61:M61"/>
    <mergeCell ref="E20:F20"/>
    <mergeCell ref="E29:F29"/>
    <mergeCell ref="J48:M48"/>
    <mergeCell ref="G5:I5"/>
    <mergeCell ref="E13:F13"/>
    <mergeCell ref="J38:M38"/>
    <mergeCell ref="D8:F8"/>
    <mergeCell ref="E31:F31"/>
    <mergeCell ref="E59:F59"/>
    <mergeCell ref="E15:F15"/>
    <mergeCell ref="J40:M40"/>
    <mergeCell ref="E46:F46"/>
    <mergeCell ref="A5:B5"/>
    <mergeCell ref="J24:M24"/>
    <mergeCell ref="E61:F61"/>
    <mergeCell ref="A4:B4"/>
    <mergeCell ref="E57:F57"/>
    <mergeCell ref="E54:F54"/>
    <mergeCell ref="E32:F32"/>
    <mergeCell ref="J26:M26"/>
    <mergeCell ref="E41:F41"/>
    <mergeCell ref="J35:M35"/>
    <mergeCell ref="C4:E4"/>
    <mergeCell ref="J16:M16"/>
    <mergeCell ref="J25:M25"/>
    <mergeCell ref="E56:F56"/>
    <mergeCell ref="G7:I7"/>
    <mergeCell ref="E43:F43"/>
    <mergeCell ref="E24:F24"/>
    <mergeCell ref="E33:F33"/>
    <mergeCell ref="E42:F42"/>
    <mergeCell ref="J50:M50"/>
    <mergeCell ref="A1:H1"/>
    <mergeCell ref="E17:F17"/>
    <mergeCell ref="A6:B6"/>
    <mergeCell ref="E35:F35"/>
    <mergeCell ref="J52:M52"/>
    <mergeCell ref="J39:M39"/>
    <mergeCell ref="E19:F19"/>
    <mergeCell ref="E28:F28"/>
    <mergeCell ref="J14:M14"/>
    <mergeCell ref="J29:M29"/>
    <mergeCell ref="E60:F60"/>
    <mergeCell ref="J37:M37"/>
    <mergeCell ref="J13:M13"/>
    <mergeCell ref="E30:F30"/>
    <mergeCell ref="E11:F11"/>
    <mergeCell ref="E45:F45"/>
    <mergeCell ref="J15:M15"/>
    <mergeCell ref="E37:F37"/>
    <mergeCell ref="J54:M54"/>
    <mergeCell ref="J32:M32"/>
    <mergeCell ref="J63:M63"/>
    <mergeCell ref="J41:M41"/>
    <mergeCell ref="E47:F47"/>
    <mergeCell ref="E21:F21"/>
  </mergeCells>
  <conditionalFormatting sqref="B12:B63">
    <cfRule type="expression" priority="1" dxfId="0" stopIfTrue="0">
      <formula>AND(ISNUMBER($C$7),ISNUMBER(B12),B12&lt;$C$7)</formula>
    </cfRule>
  </conditionalFormatting>
  <conditionalFormatting sqref="E12:F63">
    <cfRule type="expression" priority="2" dxfId="0" stopIfTrue="0">
      <formula>$E12&lt;&gt;""</formula>
    </cfRule>
  </conditionalFormatting>
  <conditionalFormatting sqref="D12:D63">
    <cfRule type="expression" priority="3" dxfId="0" stopIfTrue="0">
      <formula>AND(ISNUMBER(D12),ISNUMBER($C$8),D12&gt;=$C$8)</formula>
    </cfRule>
  </conditionalFormatting>
  <conditionalFormatting sqref="I12:I63">
    <cfRule type="expression" priority="4" dxfId="0" stopIfTrue="0">
      <formula>AND(ISNUMBER(I12),I12&gt;0)</formula>
    </cfRule>
  </conditionalFormatting>
  <conditionalFormatting sqref="J7">
    <cfRule type="expression" priority="5" dxfId="0" stopIfTrue="0">
      <formula>AND($J$7&lt;&gt;"-",$J$7&lt;&gt;"Aucune")</formula>
    </cfRule>
  </conditionalFormatting>
  <conditionalFormatting sqref="A12:A63">
    <cfRule type="expression" priority="6" dxfId="1" stopIfTrue="0">
      <formula>AND(ISNUMBER(A12),A12&lt;=TODAY(),A12+7&gt;TODAY())</formula>
    </cfRule>
  </conditionalFormatting>
  <dataValidations count="4">
    <dataValidation sqref="C5" showDropDown="0" showInputMessage="0" showErrorMessage="1" allowBlank="1" errorTitle="Date attendue" error="Saisissez une date (jj/mm/aaaa)." type="date" operator="greaterThanOrEqual">
      <formula1>36526</formula1>
    </dataValidation>
    <dataValidation sqref="C7" showDropDown="0" showInputMessage="0" showErrorMessage="1" allowBlank="1" errorTitle="Montant" error="Saisissez un montant (nombre)." type="decimal" operator="between">
      <formula1>-1000000000000</formula1>
      <formula2>1000000000000</formula2>
    </dataValidation>
    <dataValidation sqref="C8" showDropDown="0" showInputMessage="0" showErrorMessage="1" allowBlank="1" errorTitle="Nombre entier" error="Saisissez un nombre entier de 1 à 52." type="whole" operator="between">
      <formula1>1</formula1>
      <formula2>52</formula2>
    </dataValidation>
    <dataValidation sqref="B12:B63" showDropDown="0" showInputMessage="0" showErrorMessage="1" allowBlank="1" errorTitle="Montant" error="Saisissez un montant (nombre)." type="decimal" operator="between">
      <formula1>-1000000000000</formula1>
      <formula2>1000000000000</formula2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&amp;L&amp;"Arial,Regular"&amp;8 &amp;K57534ETudor Hilcu, par THG Conseil · thgconseil.fr&amp;C&amp;"Arial,Regular"&amp;8 &amp;K57534E&amp;R&amp;"Arial,Regular"&amp;8 &amp;K57534E&amp;P / &amp;N</oddFooter>
    <evenHeader/>
    <evenFooter/>
    <firstHeader/>
    <firstFooter/>
  </headerFooter>
  <rowBreaks count="1" manualBreakCount="1">
    <brk id="37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269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2" customWidth="1" min="4" max="4"/>
    <col width="12" customWidth="1" min="5" max="5"/>
    <col width="18" customWidth="1" min="6" max="6"/>
    <col width="11" customWidth="1" min="7" max="7"/>
    <col width="20" customWidth="1" min="8" max="8"/>
    <col width="12" customWidth="1" min="9" max="9"/>
    <col width="24" customWidth="1" min="10" max="10"/>
    <col width="12" customWidth="1" min="11" max="11"/>
    <col width="10" customWidth="1" min="12" max="12"/>
    <col width="13" customWidth="1" min="13" max="13"/>
    <col width="12" customWidth="1" min="14" max="14"/>
    <col width="24" customWidth="1" min="15" max="15"/>
    <col hidden="1" width="10" customWidth="1" min="16" max="16"/>
    <col hidden="1" width="10" customWidth="1" min="17" max="17"/>
    <col hidden="1" width="10" customWidth="1" min="18" max="18"/>
    <col hidden="1" width="10" customWidth="1" min="19" max="19"/>
    <col hidden="1" width="10" customWidth="1" min="20" max="20"/>
    <col hidden="1" width="10" customWidth="1" min="21" max="21"/>
    <col hidden="1" width="10" customWidth="1" min="22" max="22"/>
  </cols>
  <sheetData>
    <row r="1" ht="26" customHeight="1">
      <c r="A1" s="11" t="inlineStr">
        <is>
          <t>La règle du lundi : les retards clients</t>
        </is>
      </c>
    </row>
    <row r="2" ht="16.7" customHeight="1">
      <c r="A2" s="12" t="inlineStr">
        <is>
          <t>Chaque lundi, notez les cinq plus grosses factures clients en retard. Un client qui revient plusieurs lundis passe en rouge : c’est lui que vous appelez en premier.</t>
        </is>
      </c>
    </row>
    <row r="3" ht="8" customHeight="1"/>
    <row r="4">
      <c r="A4" s="13" t="inlineStr">
        <is>
          <t>Lundis suivis à partir du</t>
        </is>
      </c>
      <c r="C4" s="20">
        <f>IF('Règle du lundi (solde)'!$C$6="","",'Règle du lundi (solde)'!$C$6)</f>
        <v/>
      </c>
      <c r="D4" s="18" t="inlineStr">
        <is>
          <t>Date de l’onglet « Règle du lundi (solde) ».</t>
        </is>
      </c>
    </row>
    <row r="5">
      <c r="A5" s="13" t="inlineStr">
        <is>
          <t>Alerte quand un client figure dans la liste</t>
        </is>
      </c>
      <c r="C5" s="24" t="n">
        <v>3</v>
      </c>
      <c r="D5" s="18" t="inlineStr">
        <is>
          <t>lundis (la règle du lundi : 3).</t>
        </is>
      </c>
    </row>
    <row r="6" ht="26.9" customHeight="1">
      <c r="A6" s="34" t="inlineStr">
        <is>
          <t>En haut de l’onglet « Relances clients », les cinq plus gros retards du jour sont prêts à recopier, de la plus grosse facture à la plus petite. Si un client a deux factures dans la liste, il ne compte qu’une fois par lundi.</t>
        </is>
      </c>
    </row>
    <row r="7">
      <c r="A7" s="7" t="n"/>
      <c r="B7" s="25" t="inlineStr">
        <is>
          <t>À saisir</t>
        </is>
      </c>
      <c r="C7" s="9" t="n"/>
      <c r="D7" s="25" t="inlineStr">
        <is>
          <t>Calculé</t>
        </is>
      </c>
      <c r="E7" s="26" t="inlineStr">
        <is>
          <t>Rouge</t>
        </is>
      </c>
      <c r="F7" s="25" t="inlineStr">
        <is>
          <t>Alerte</t>
        </is>
      </c>
    </row>
    <row r="8" ht="6" customHeight="1"/>
    <row r="9" ht="42" customHeight="1">
      <c r="A9" s="27" t="inlineStr">
        <is>
          <t>Lundi</t>
        </is>
      </c>
      <c r="B9" s="27" t="inlineStr">
        <is>
          <t>Client</t>
        </is>
      </c>
      <c r="C9" s="27" t="inlineStr">
        <is>
          <t>Montant TTC en retard</t>
        </is>
      </c>
      <c r="D9" s="27" t="inlineStr">
        <is>
          <t>Jours de retard</t>
        </is>
      </c>
      <c r="E9" s="27" t="inlineStr">
        <is>
          <t>Lundis dans la liste</t>
        </is>
      </c>
      <c r="F9" s="27" t="inlineStr">
        <is>
          <t>Alerte</t>
        </is>
      </c>
      <c r="G9" s="27" t="inlineStr">
        <is>
          <t>Action décidée</t>
        </is>
      </c>
      <c r="H9" s="28" t="n"/>
      <c r="I9" s="28" t="n"/>
    </row>
    <row r="10" ht="15" customHeight="1">
      <c r="A10" s="35">
        <f>IF($C$4="","",$C$4+0)</f>
        <v/>
      </c>
      <c r="B10" s="36" t="n"/>
      <c r="C10" s="37" t="n"/>
      <c r="D10" s="38" t="n"/>
      <c r="E10" s="39">
        <f>IF(B10="","",COUNTIF($V$10:V10,B10))</f>
        <v/>
      </c>
      <c r="F10" s="40">
        <f>IF(V10="","",IF(E10&gt;=IF(N($C$5)&gt;0,$C$5,3),"Revient : appeler",IF(E10&gt;=2,"Déjà dans la liste","")))</f>
        <v/>
      </c>
      <c r="G10" s="36" t="n"/>
      <c r="H10" s="36" t="n"/>
      <c r="I10" s="36" t="n"/>
      <c r="V10" s="9">
        <f>IF(B10="","",IF(COUNTIF(B10:B10,B10)=1,B10,""))</f>
        <v/>
      </c>
    </row>
    <row r="11" ht="15" customHeight="1">
      <c r="A11" s="29" t="n"/>
      <c r="B11" s="14" t="n"/>
      <c r="C11" s="22" t="n"/>
      <c r="D11" s="24" t="n"/>
      <c r="E11" s="31">
        <f>IF(B11="","",COUNTIF($V$10:V11,B11))</f>
        <v/>
      </c>
      <c r="F11" s="41">
        <f>IF(V11="","",IF(E11&gt;=IF(N($C$5)&gt;0,$C$5,3),"Revient : appeler",IF(E11&gt;=2,"Déjà dans la liste","")))</f>
        <v/>
      </c>
      <c r="G11" s="14" t="n"/>
      <c r="H11" s="14" t="n"/>
      <c r="I11" s="14" t="n"/>
      <c r="V11" s="9">
        <f>IF(B11="","",IF(COUNTIF(B10:B11,B11)=1,B11,""))</f>
        <v/>
      </c>
    </row>
    <row r="12" ht="15" customHeight="1">
      <c r="A12" s="29" t="n"/>
      <c r="B12" s="14" t="n"/>
      <c r="C12" s="22" t="n"/>
      <c r="D12" s="24" t="n"/>
      <c r="E12" s="31">
        <f>IF(B12="","",COUNTIF($V$10:V12,B12))</f>
        <v/>
      </c>
      <c r="F12" s="41">
        <f>IF(V12="","",IF(E12&gt;=IF(N($C$5)&gt;0,$C$5,3),"Revient : appeler",IF(E12&gt;=2,"Déjà dans la liste","")))</f>
        <v/>
      </c>
      <c r="G12" s="14" t="n"/>
      <c r="H12" s="14" t="n"/>
      <c r="I12" s="14" t="n"/>
      <c r="V12" s="9">
        <f>IF(B12="","",IF(COUNTIF(B10:B12,B12)=1,B12,""))</f>
        <v/>
      </c>
    </row>
    <row r="13" ht="15" customHeight="1">
      <c r="A13" s="29" t="n"/>
      <c r="B13" s="14" t="n"/>
      <c r="C13" s="22" t="n"/>
      <c r="D13" s="24" t="n"/>
      <c r="E13" s="31">
        <f>IF(B13="","",COUNTIF($V$10:V13,B13))</f>
        <v/>
      </c>
      <c r="F13" s="41">
        <f>IF(V13="","",IF(E13&gt;=IF(N($C$5)&gt;0,$C$5,3),"Revient : appeler",IF(E13&gt;=2,"Déjà dans la liste","")))</f>
        <v/>
      </c>
      <c r="G13" s="14" t="n"/>
      <c r="H13" s="14" t="n"/>
      <c r="I13" s="14" t="n"/>
      <c r="V13" s="9">
        <f>IF(B13="","",IF(COUNTIF(B10:B13,B13)=1,B13,""))</f>
        <v/>
      </c>
    </row>
    <row r="14" ht="15" customHeight="1">
      <c r="A14" s="29" t="n"/>
      <c r="B14" s="14" t="n"/>
      <c r="C14" s="22" t="n"/>
      <c r="D14" s="24" t="n"/>
      <c r="E14" s="31">
        <f>IF(B14="","",COUNTIF($V$10:V14,B14))</f>
        <v/>
      </c>
      <c r="F14" s="41">
        <f>IF(V14="","",IF(E14&gt;=IF(N($C$5)&gt;0,$C$5,3),"Revient : appeler",IF(E14&gt;=2,"Déjà dans la liste","")))</f>
        <v/>
      </c>
      <c r="G14" s="14" t="n"/>
      <c r="H14" s="14" t="n"/>
      <c r="I14" s="14" t="n"/>
      <c r="V14" s="9">
        <f>IF(B14="","",IF(COUNTIF(B10:B14,B14)=1,B14,""))</f>
        <v/>
      </c>
    </row>
    <row r="15" ht="15" customHeight="1">
      <c r="A15" s="35">
        <f>IF($C$4="","",$C$4+7)</f>
        <v/>
      </c>
      <c r="B15" s="36" t="n"/>
      <c r="C15" s="37" t="n"/>
      <c r="D15" s="38" t="n"/>
      <c r="E15" s="39">
        <f>IF(B15="","",COUNTIF($V$10:V15,B15))</f>
        <v/>
      </c>
      <c r="F15" s="40">
        <f>IF(V15="","",IF(E15&gt;=IF(N($C$5)&gt;0,$C$5,3),"Revient : appeler",IF(E15&gt;=2,"Déjà dans la liste","")))</f>
        <v/>
      </c>
      <c r="G15" s="36" t="n"/>
      <c r="H15" s="36" t="n"/>
      <c r="I15" s="36" t="n"/>
      <c r="V15" s="9">
        <f>IF(B15="","",IF(COUNTIF(B15:B15,B15)=1,B15,""))</f>
        <v/>
      </c>
    </row>
    <row r="16" ht="15" customHeight="1">
      <c r="A16" s="29" t="n"/>
      <c r="B16" s="14" t="n"/>
      <c r="C16" s="22" t="n"/>
      <c r="D16" s="24" t="n"/>
      <c r="E16" s="31">
        <f>IF(B16="","",COUNTIF($V$10:V16,B16))</f>
        <v/>
      </c>
      <c r="F16" s="41">
        <f>IF(V16="","",IF(E16&gt;=IF(N($C$5)&gt;0,$C$5,3),"Revient : appeler",IF(E16&gt;=2,"Déjà dans la liste","")))</f>
        <v/>
      </c>
      <c r="G16" s="14" t="n"/>
      <c r="H16" s="14" t="n"/>
      <c r="I16" s="14" t="n"/>
      <c r="V16" s="9">
        <f>IF(B16="","",IF(COUNTIF(B15:B16,B16)=1,B16,""))</f>
        <v/>
      </c>
    </row>
    <row r="17" ht="15" customHeight="1">
      <c r="A17" s="29" t="n"/>
      <c r="B17" s="14" t="n"/>
      <c r="C17" s="22" t="n"/>
      <c r="D17" s="24" t="n"/>
      <c r="E17" s="31">
        <f>IF(B17="","",COUNTIF($V$10:V17,B17))</f>
        <v/>
      </c>
      <c r="F17" s="41">
        <f>IF(V17="","",IF(E17&gt;=IF(N($C$5)&gt;0,$C$5,3),"Revient : appeler",IF(E17&gt;=2,"Déjà dans la liste","")))</f>
        <v/>
      </c>
      <c r="G17" s="14" t="n"/>
      <c r="H17" s="14" t="n"/>
      <c r="I17" s="14" t="n"/>
      <c r="V17" s="9">
        <f>IF(B17="","",IF(COUNTIF(B15:B17,B17)=1,B17,""))</f>
        <v/>
      </c>
    </row>
    <row r="18" ht="15" customHeight="1">
      <c r="A18" s="29" t="n"/>
      <c r="B18" s="14" t="n"/>
      <c r="C18" s="22" t="n"/>
      <c r="D18" s="24" t="n"/>
      <c r="E18" s="31">
        <f>IF(B18="","",COUNTIF($V$10:V18,B18))</f>
        <v/>
      </c>
      <c r="F18" s="41">
        <f>IF(V18="","",IF(E18&gt;=IF(N($C$5)&gt;0,$C$5,3),"Revient : appeler",IF(E18&gt;=2,"Déjà dans la liste","")))</f>
        <v/>
      </c>
      <c r="G18" s="14" t="n"/>
      <c r="H18" s="14" t="n"/>
      <c r="I18" s="14" t="n"/>
      <c r="V18" s="9">
        <f>IF(B18="","",IF(COUNTIF(B15:B18,B18)=1,B18,""))</f>
        <v/>
      </c>
    </row>
    <row r="19" ht="15" customHeight="1">
      <c r="A19" s="29" t="n"/>
      <c r="B19" s="14" t="n"/>
      <c r="C19" s="22" t="n"/>
      <c r="D19" s="24" t="n"/>
      <c r="E19" s="31">
        <f>IF(B19="","",COUNTIF($V$10:V19,B19))</f>
        <v/>
      </c>
      <c r="F19" s="41">
        <f>IF(V19="","",IF(E19&gt;=IF(N($C$5)&gt;0,$C$5,3),"Revient : appeler",IF(E19&gt;=2,"Déjà dans la liste","")))</f>
        <v/>
      </c>
      <c r="G19" s="14" t="n"/>
      <c r="H19" s="14" t="n"/>
      <c r="I19" s="14" t="n"/>
      <c r="V19" s="9">
        <f>IF(B19="","",IF(COUNTIF(B15:B19,B19)=1,B19,""))</f>
        <v/>
      </c>
    </row>
    <row r="20" ht="15" customHeight="1">
      <c r="A20" s="35">
        <f>IF($C$4="","",$C$4+14)</f>
        <v/>
      </c>
      <c r="B20" s="36" t="n"/>
      <c r="C20" s="37" t="n"/>
      <c r="D20" s="38" t="n"/>
      <c r="E20" s="39">
        <f>IF(B20="","",COUNTIF($V$10:V20,B20))</f>
        <v/>
      </c>
      <c r="F20" s="40">
        <f>IF(V20="","",IF(E20&gt;=IF(N($C$5)&gt;0,$C$5,3),"Revient : appeler",IF(E20&gt;=2,"Déjà dans la liste","")))</f>
        <v/>
      </c>
      <c r="G20" s="36" t="n"/>
      <c r="H20" s="36" t="n"/>
      <c r="I20" s="36" t="n"/>
      <c r="V20" s="9">
        <f>IF(B20="","",IF(COUNTIF(B20:B20,B20)=1,B20,""))</f>
        <v/>
      </c>
    </row>
    <row r="21" ht="15" customHeight="1">
      <c r="A21" s="29" t="n"/>
      <c r="B21" s="14" t="n"/>
      <c r="C21" s="22" t="n"/>
      <c r="D21" s="24" t="n"/>
      <c r="E21" s="31">
        <f>IF(B21="","",COUNTIF($V$10:V21,B21))</f>
        <v/>
      </c>
      <c r="F21" s="41">
        <f>IF(V21="","",IF(E21&gt;=IF(N($C$5)&gt;0,$C$5,3),"Revient : appeler",IF(E21&gt;=2,"Déjà dans la liste","")))</f>
        <v/>
      </c>
      <c r="G21" s="14" t="n"/>
      <c r="H21" s="14" t="n"/>
      <c r="I21" s="14" t="n"/>
      <c r="V21" s="9">
        <f>IF(B21="","",IF(COUNTIF(B20:B21,B21)=1,B21,""))</f>
        <v/>
      </c>
    </row>
    <row r="22" ht="15" customHeight="1">
      <c r="A22" s="29" t="n"/>
      <c r="B22" s="14" t="n"/>
      <c r="C22" s="22" t="n"/>
      <c r="D22" s="24" t="n"/>
      <c r="E22" s="31">
        <f>IF(B22="","",COUNTIF($V$10:V22,B22))</f>
        <v/>
      </c>
      <c r="F22" s="41">
        <f>IF(V22="","",IF(E22&gt;=IF(N($C$5)&gt;0,$C$5,3),"Revient : appeler",IF(E22&gt;=2,"Déjà dans la liste","")))</f>
        <v/>
      </c>
      <c r="G22" s="14" t="n"/>
      <c r="H22" s="14" t="n"/>
      <c r="I22" s="14" t="n"/>
      <c r="V22" s="9">
        <f>IF(B22="","",IF(COUNTIF(B20:B22,B22)=1,B22,""))</f>
        <v/>
      </c>
    </row>
    <row r="23" ht="15" customHeight="1">
      <c r="A23" s="29" t="n"/>
      <c r="B23" s="14" t="n"/>
      <c r="C23" s="22" t="n"/>
      <c r="D23" s="24" t="n"/>
      <c r="E23" s="31">
        <f>IF(B23="","",COUNTIF($V$10:V23,B23))</f>
        <v/>
      </c>
      <c r="F23" s="41">
        <f>IF(V23="","",IF(E23&gt;=IF(N($C$5)&gt;0,$C$5,3),"Revient : appeler",IF(E23&gt;=2,"Déjà dans la liste","")))</f>
        <v/>
      </c>
      <c r="G23" s="14" t="n"/>
      <c r="H23" s="14" t="n"/>
      <c r="I23" s="14" t="n"/>
      <c r="V23" s="9">
        <f>IF(B23="","",IF(COUNTIF(B20:B23,B23)=1,B23,""))</f>
        <v/>
      </c>
    </row>
    <row r="24" ht="15" customHeight="1">
      <c r="A24" s="29" t="n"/>
      <c r="B24" s="14" t="n"/>
      <c r="C24" s="22" t="n"/>
      <c r="D24" s="24" t="n"/>
      <c r="E24" s="31">
        <f>IF(B24="","",COUNTIF($V$10:V24,B24))</f>
        <v/>
      </c>
      <c r="F24" s="41">
        <f>IF(V24="","",IF(E24&gt;=IF(N($C$5)&gt;0,$C$5,3),"Revient : appeler",IF(E24&gt;=2,"Déjà dans la liste","")))</f>
        <v/>
      </c>
      <c r="G24" s="14" t="n"/>
      <c r="H24" s="14" t="n"/>
      <c r="I24" s="14" t="n"/>
      <c r="V24" s="9">
        <f>IF(B24="","",IF(COUNTIF(B20:B24,B24)=1,B24,""))</f>
        <v/>
      </c>
    </row>
    <row r="25" ht="15" customHeight="1">
      <c r="A25" s="35">
        <f>IF($C$4="","",$C$4+21)</f>
        <v/>
      </c>
      <c r="B25" s="36" t="n"/>
      <c r="C25" s="37" t="n"/>
      <c r="D25" s="38" t="n"/>
      <c r="E25" s="39">
        <f>IF(B25="","",COUNTIF($V$10:V25,B25))</f>
        <v/>
      </c>
      <c r="F25" s="40">
        <f>IF(V25="","",IF(E25&gt;=IF(N($C$5)&gt;0,$C$5,3),"Revient : appeler",IF(E25&gt;=2,"Déjà dans la liste","")))</f>
        <v/>
      </c>
      <c r="G25" s="36" t="n"/>
      <c r="H25" s="36" t="n"/>
      <c r="I25" s="36" t="n"/>
      <c r="V25" s="9">
        <f>IF(B25="","",IF(COUNTIF(B25:B25,B25)=1,B25,""))</f>
        <v/>
      </c>
    </row>
    <row r="26" ht="15" customHeight="1">
      <c r="A26" s="29" t="n"/>
      <c r="B26" s="14" t="n"/>
      <c r="C26" s="22" t="n"/>
      <c r="D26" s="24" t="n"/>
      <c r="E26" s="31">
        <f>IF(B26="","",COUNTIF($V$10:V26,B26))</f>
        <v/>
      </c>
      <c r="F26" s="41">
        <f>IF(V26="","",IF(E26&gt;=IF(N($C$5)&gt;0,$C$5,3),"Revient : appeler",IF(E26&gt;=2,"Déjà dans la liste","")))</f>
        <v/>
      </c>
      <c r="G26" s="14" t="n"/>
      <c r="H26" s="14" t="n"/>
      <c r="I26" s="14" t="n"/>
      <c r="V26" s="9">
        <f>IF(B26="","",IF(COUNTIF(B25:B26,B26)=1,B26,""))</f>
        <v/>
      </c>
    </row>
    <row r="27" ht="15" customHeight="1">
      <c r="A27" s="29" t="n"/>
      <c r="B27" s="14" t="n"/>
      <c r="C27" s="22" t="n"/>
      <c r="D27" s="24" t="n"/>
      <c r="E27" s="31">
        <f>IF(B27="","",COUNTIF($V$10:V27,B27))</f>
        <v/>
      </c>
      <c r="F27" s="41">
        <f>IF(V27="","",IF(E27&gt;=IF(N($C$5)&gt;0,$C$5,3),"Revient : appeler",IF(E27&gt;=2,"Déjà dans la liste","")))</f>
        <v/>
      </c>
      <c r="G27" s="14" t="n"/>
      <c r="H27" s="14" t="n"/>
      <c r="I27" s="14" t="n"/>
      <c r="V27" s="9">
        <f>IF(B27="","",IF(COUNTIF(B25:B27,B27)=1,B27,""))</f>
        <v/>
      </c>
    </row>
    <row r="28" ht="15" customHeight="1">
      <c r="A28" s="29" t="n"/>
      <c r="B28" s="14" t="n"/>
      <c r="C28" s="22" t="n"/>
      <c r="D28" s="24" t="n"/>
      <c r="E28" s="31">
        <f>IF(B28="","",COUNTIF($V$10:V28,B28))</f>
        <v/>
      </c>
      <c r="F28" s="41">
        <f>IF(V28="","",IF(E28&gt;=IF(N($C$5)&gt;0,$C$5,3),"Revient : appeler",IF(E28&gt;=2,"Déjà dans la liste","")))</f>
        <v/>
      </c>
      <c r="G28" s="14" t="n"/>
      <c r="H28" s="14" t="n"/>
      <c r="I28" s="14" t="n"/>
      <c r="V28" s="9">
        <f>IF(B28="","",IF(COUNTIF(B25:B28,B28)=1,B28,""))</f>
        <v/>
      </c>
    </row>
    <row r="29" ht="15" customHeight="1">
      <c r="A29" s="29" t="n"/>
      <c r="B29" s="14" t="n"/>
      <c r="C29" s="22" t="n"/>
      <c r="D29" s="24" t="n"/>
      <c r="E29" s="31">
        <f>IF(B29="","",COUNTIF($V$10:V29,B29))</f>
        <v/>
      </c>
      <c r="F29" s="41">
        <f>IF(V29="","",IF(E29&gt;=IF(N($C$5)&gt;0,$C$5,3),"Revient : appeler",IF(E29&gt;=2,"Déjà dans la liste","")))</f>
        <v/>
      </c>
      <c r="G29" s="14" t="n"/>
      <c r="H29" s="14" t="n"/>
      <c r="I29" s="14" t="n"/>
      <c r="V29" s="9">
        <f>IF(B29="","",IF(COUNTIF(B25:B29,B29)=1,B29,""))</f>
        <v/>
      </c>
    </row>
    <row r="30" ht="15" customHeight="1">
      <c r="A30" s="35">
        <f>IF($C$4="","",$C$4+28)</f>
        <v/>
      </c>
      <c r="B30" s="36" t="n"/>
      <c r="C30" s="37" t="n"/>
      <c r="D30" s="38" t="n"/>
      <c r="E30" s="39">
        <f>IF(B30="","",COUNTIF($V$10:V30,B30))</f>
        <v/>
      </c>
      <c r="F30" s="40">
        <f>IF(V30="","",IF(E30&gt;=IF(N($C$5)&gt;0,$C$5,3),"Revient : appeler",IF(E30&gt;=2,"Déjà dans la liste","")))</f>
        <v/>
      </c>
      <c r="G30" s="36" t="n"/>
      <c r="H30" s="36" t="n"/>
      <c r="I30" s="36" t="n"/>
      <c r="V30" s="9">
        <f>IF(B30="","",IF(COUNTIF(B30:B30,B30)=1,B30,""))</f>
        <v/>
      </c>
    </row>
    <row r="31" ht="15" customHeight="1">
      <c r="A31" s="29" t="n"/>
      <c r="B31" s="14" t="n"/>
      <c r="C31" s="22" t="n"/>
      <c r="D31" s="24" t="n"/>
      <c r="E31" s="31">
        <f>IF(B31="","",COUNTIF($V$10:V31,B31))</f>
        <v/>
      </c>
      <c r="F31" s="41">
        <f>IF(V31="","",IF(E31&gt;=IF(N($C$5)&gt;0,$C$5,3),"Revient : appeler",IF(E31&gt;=2,"Déjà dans la liste","")))</f>
        <v/>
      </c>
      <c r="G31" s="14" t="n"/>
      <c r="H31" s="14" t="n"/>
      <c r="I31" s="14" t="n"/>
      <c r="V31" s="9">
        <f>IF(B31="","",IF(COUNTIF(B30:B31,B31)=1,B31,""))</f>
        <v/>
      </c>
    </row>
    <row r="32" ht="15" customHeight="1">
      <c r="A32" s="29" t="n"/>
      <c r="B32" s="14" t="n"/>
      <c r="C32" s="22" t="n"/>
      <c r="D32" s="24" t="n"/>
      <c r="E32" s="31">
        <f>IF(B32="","",COUNTIF($V$10:V32,B32))</f>
        <v/>
      </c>
      <c r="F32" s="41">
        <f>IF(V32="","",IF(E32&gt;=IF(N($C$5)&gt;0,$C$5,3),"Revient : appeler",IF(E32&gt;=2,"Déjà dans la liste","")))</f>
        <v/>
      </c>
      <c r="G32" s="14" t="n"/>
      <c r="H32" s="14" t="n"/>
      <c r="I32" s="14" t="n"/>
      <c r="V32" s="9">
        <f>IF(B32="","",IF(COUNTIF(B30:B32,B32)=1,B32,""))</f>
        <v/>
      </c>
    </row>
    <row r="33" ht="15" customHeight="1">
      <c r="A33" s="29" t="n"/>
      <c r="B33" s="14" t="n"/>
      <c r="C33" s="22" t="n"/>
      <c r="D33" s="24" t="n"/>
      <c r="E33" s="31">
        <f>IF(B33="","",COUNTIF($V$10:V33,B33))</f>
        <v/>
      </c>
      <c r="F33" s="41">
        <f>IF(V33="","",IF(E33&gt;=IF(N($C$5)&gt;0,$C$5,3),"Revient : appeler",IF(E33&gt;=2,"Déjà dans la liste","")))</f>
        <v/>
      </c>
      <c r="G33" s="14" t="n"/>
      <c r="H33" s="14" t="n"/>
      <c r="I33" s="14" t="n"/>
      <c r="V33" s="9">
        <f>IF(B33="","",IF(COUNTIF(B30:B33,B33)=1,B33,""))</f>
        <v/>
      </c>
    </row>
    <row r="34" ht="15" customHeight="1">
      <c r="A34" s="29" t="n"/>
      <c r="B34" s="14" t="n"/>
      <c r="C34" s="22" t="n"/>
      <c r="D34" s="24" t="n"/>
      <c r="E34" s="31">
        <f>IF(B34="","",COUNTIF($V$10:V34,B34))</f>
        <v/>
      </c>
      <c r="F34" s="41">
        <f>IF(V34="","",IF(E34&gt;=IF(N($C$5)&gt;0,$C$5,3),"Revient : appeler",IF(E34&gt;=2,"Déjà dans la liste","")))</f>
        <v/>
      </c>
      <c r="G34" s="14" t="n"/>
      <c r="H34" s="14" t="n"/>
      <c r="I34" s="14" t="n"/>
      <c r="V34" s="9">
        <f>IF(B34="","",IF(COUNTIF(B30:B34,B34)=1,B34,""))</f>
        <v/>
      </c>
    </row>
    <row r="35" ht="15" customHeight="1">
      <c r="A35" s="35">
        <f>IF($C$4="","",$C$4+35)</f>
        <v/>
      </c>
      <c r="B35" s="36" t="n"/>
      <c r="C35" s="37" t="n"/>
      <c r="D35" s="38" t="n"/>
      <c r="E35" s="39">
        <f>IF(B35="","",COUNTIF($V$10:V35,B35))</f>
        <v/>
      </c>
      <c r="F35" s="40">
        <f>IF(V35="","",IF(E35&gt;=IF(N($C$5)&gt;0,$C$5,3),"Revient : appeler",IF(E35&gt;=2,"Déjà dans la liste","")))</f>
        <v/>
      </c>
      <c r="G35" s="36" t="n"/>
      <c r="H35" s="36" t="n"/>
      <c r="I35" s="36" t="n"/>
      <c r="V35" s="9">
        <f>IF(B35="","",IF(COUNTIF(B35:B35,B35)=1,B35,""))</f>
        <v/>
      </c>
    </row>
    <row r="36" ht="15" customHeight="1">
      <c r="A36" s="29" t="n"/>
      <c r="B36" s="14" t="n"/>
      <c r="C36" s="22" t="n"/>
      <c r="D36" s="24" t="n"/>
      <c r="E36" s="31">
        <f>IF(B36="","",COUNTIF($V$10:V36,B36))</f>
        <v/>
      </c>
      <c r="F36" s="41">
        <f>IF(V36="","",IF(E36&gt;=IF(N($C$5)&gt;0,$C$5,3),"Revient : appeler",IF(E36&gt;=2,"Déjà dans la liste","")))</f>
        <v/>
      </c>
      <c r="G36" s="14" t="n"/>
      <c r="H36" s="14" t="n"/>
      <c r="I36" s="14" t="n"/>
      <c r="V36" s="9">
        <f>IF(B36="","",IF(COUNTIF(B35:B36,B36)=1,B36,""))</f>
        <v/>
      </c>
    </row>
    <row r="37" ht="15" customHeight="1">
      <c r="A37" s="29" t="n"/>
      <c r="B37" s="14" t="n"/>
      <c r="C37" s="22" t="n"/>
      <c r="D37" s="24" t="n"/>
      <c r="E37" s="31">
        <f>IF(B37="","",COUNTIF($V$10:V37,B37))</f>
        <v/>
      </c>
      <c r="F37" s="41">
        <f>IF(V37="","",IF(E37&gt;=IF(N($C$5)&gt;0,$C$5,3),"Revient : appeler",IF(E37&gt;=2,"Déjà dans la liste","")))</f>
        <v/>
      </c>
      <c r="G37" s="14" t="n"/>
      <c r="H37" s="14" t="n"/>
      <c r="I37" s="14" t="n"/>
      <c r="V37" s="9">
        <f>IF(B37="","",IF(COUNTIF(B35:B37,B37)=1,B37,""))</f>
        <v/>
      </c>
    </row>
    <row r="38" ht="15" customHeight="1">
      <c r="A38" s="29" t="n"/>
      <c r="B38" s="14" t="n"/>
      <c r="C38" s="22" t="n"/>
      <c r="D38" s="24" t="n"/>
      <c r="E38" s="31">
        <f>IF(B38="","",COUNTIF($V$10:V38,B38))</f>
        <v/>
      </c>
      <c r="F38" s="41">
        <f>IF(V38="","",IF(E38&gt;=IF(N($C$5)&gt;0,$C$5,3),"Revient : appeler",IF(E38&gt;=2,"Déjà dans la liste","")))</f>
        <v/>
      </c>
      <c r="G38" s="14" t="n"/>
      <c r="H38" s="14" t="n"/>
      <c r="I38" s="14" t="n"/>
      <c r="V38" s="9">
        <f>IF(B38="","",IF(COUNTIF(B35:B38,B38)=1,B38,""))</f>
        <v/>
      </c>
    </row>
    <row r="39" ht="15" customHeight="1">
      <c r="A39" s="29" t="n"/>
      <c r="B39" s="14" t="n"/>
      <c r="C39" s="22" t="n"/>
      <c r="D39" s="24" t="n"/>
      <c r="E39" s="31">
        <f>IF(B39="","",COUNTIF($V$10:V39,B39))</f>
        <v/>
      </c>
      <c r="F39" s="41">
        <f>IF(V39="","",IF(E39&gt;=IF(N($C$5)&gt;0,$C$5,3),"Revient : appeler",IF(E39&gt;=2,"Déjà dans la liste","")))</f>
        <v/>
      </c>
      <c r="G39" s="14" t="n"/>
      <c r="H39" s="14" t="n"/>
      <c r="I39" s="14" t="n"/>
      <c r="V39" s="9">
        <f>IF(B39="","",IF(COUNTIF(B35:B39,B39)=1,B39,""))</f>
        <v/>
      </c>
    </row>
    <row r="40" ht="15" customHeight="1">
      <c r="A40" s="35">
        <f>IF($C$4="","",$C$4+42)</f>
        <v/>
      </c>
      <c r="B40" s="36" t="n"/>
      <c r="C40" s="37" t="n"/>
      <c r="D40" s="38" t="n"/>
      <c r="E40" s="39">
        <f>IF(B40="","",COUNTIF($V$10:V40,B40))</f>
        <v/>
      </c>
      <c r="F40" s="40">
        <f>IF(V40="","",IF(E40&gt;=IF(N($C$5)&gt;0,$C$5,3),"Revient : appeler",IF(E40&gt;=2,"Déjà dans la liste","")))</f>
        <v/>
      </c>
      <c r="G40" s="36" t="n"/>
      <c r="H40" s="36" t="n"/>
      <c r="I40" s="36" t="n"/>
      <c r="V40" s="9">
        <f>IF(B40="","",IF(COUNTIF(B40:B40,B40)=1,B40,""))</f>
        <v/>
      </c>
    </row>
    <row r="41" ht="15" customHeight="1">
      <c r="A41" s="29" t="n"/>
      <c r="B41" s="14" t="n"/>
      <c r="C41" s="22" t="n"/>
      <c r="D41" s="24" t="n"/>
      <c r="E41" s="31">
        <f>IF(B41="","",COUNTIF($V$10:V41,B41))</f>
        <v/>
      </c>
      <c r="F41" s="41">
        <f>IF(V41="","",IF(E41&gt;=IF(N($C$5)&gt;0,$C$5,3),"Revient : appeler",IF(E41&gt;=2,"Déjà dans la liste","")))</f>
        <v/>
      </c>
      <c r="G41" s="14" t="n"/>
      <c r="H41" s="14" t="n"/>
      <c r="I41" s="14" t="n"/>
      <c r="V41" s="9">
        <f>IF(B41="","",IF(COUNTIF(B40:B41,B41)=1,B41,""))</f>
        <v/>
      </c>
    </row>
    <row r="42" ht="15" customHeight="1">
      <c r="A42" s="29" t="n"/>
      <c r="B42" s="14" t="n"/>
      <c r="C42" s="22" t="n"/>
      <c r="D42" s="24" t="n"/>
      <c r="E42" s="31">
        <f>IF(B42="","",COUNTIF($V$10:V42,B42))</f>
        <v/>
      </c>
      <c r="F42" s="41">
        <f>IF(V42="","",IF(E42&gt;=IF(N($C$5)&gt;0,$C$5,3),"Revient : appeler",IF(E42&gt;=2,"Déjà dans la liste","")))</f>
        <v/>
      </c>
      <c r="G42" s="14" t="n"/>
      <c r="H42" s="14" t="n"/>
      <c r="I42" s="14" t="n"/>
      <c r="V42" s="9">
        <f>IF(B42="","",IF(COUNTIF(B40:B42,B42)=1,B42,""))</f>
        <v/>
      </c>
    </row>
    <row r="43" ht="15" customHeight="1">
      <c r="A43" s="29" t="n"/>
      <c r="B43" s="14" t="n"/>
      <c r="C43" s="22" t="n"/>
      <c r="D43" s="24" t="n"/>
      <c r="E43" s="31">
        <f>IF(B43="","",COUNTIF($V$10:V43,B43))</f>
        <v/>
      </c>
      <c r="F43" s="41">
        <f>IF(V43="","",IF(E43&gt;=IF(N($C$5)&gt;0,$C$5,3),"Revient : appeler",IF(E43&gt;=2,"Déjà dans la liste","")))</f>
        <v/>
      </c>
      <c r="G43" s="14" t="n"/>
      <c r="H43" s="14" t="n"/>
      <c r="I43" s="14" t="n"/>
      <c r="V43" s="9">
        <f>IF(B43="","",IF(COUNTIF(B40:B43,B43)=1,B43,""))</f>
        <v/>
      </c>
    </row>
    <row r="44" ht="15" customHeight="1">
      <c r="A44" s="29" t="n"/>
      <c r="B44" s="14" t="n"/>
      <c r="C44" s="22" t="n"/>
      <c r="D44" s="24" t="n"/>
      <c r="E44" s="31">
        <f>IF(B44="","",COUNTIF($V$10:V44,B44))</f>
        <v/>
      </c>
      <c r="F44" s="41">
        <f>IF(V44="","",IF(E44&gt;=IF(N($C$5)&gt;0,$C$5,3),"Revient : appeler",IF(E44&gt;=2,"Déjà dans la liste","")))</f>
        <v/>
      </c>
      <c r="G44" s="14" t="n"/>
      <c r="H44" s="14" t="n"/>
      <c r="I44" s="14" t="n"/>
      <c r="V44" s="9">
        <f>IF(B44="","",IF(COUNTIF(B40:B44,B44)=1,B44,""))</f>
        <v/>
      </c>
    </row>
    <row r="45" ht="15" customHeight="1">
      <c r="A45" s="35">
        <f>IF($C$4="","",$C$4+49)</f>
        <v/>
      </c>
      <c r="B45" s="36" t="n"/>
      <c r="C45" s="37" t="n"/>
      <c r="D45" s="38" t="n"/>
      <c r="E45" s="39">
        <f>IF(B45="","",COUNTIF($V$10:V45,B45))</f>
        <v/>
      </c>
      <c r="F45" s="40">
        <f>IF(V45="","",IF(E45&gt;=IF(N($C$5)&gt;0,$C$5,3),"Revient : appeler",IF(E45&gt;=2,"Déjà dans la liste","")))</f>
        <v/>
      </c>
      <c r="G45" s="36" t="n"/>
      <c r="H45" s="36" t="n"/>
      <c r="I45" s="36" t="n"/>
      <c r="V45" s="9">
        <f>IF(B45="","",IF(COUNTIF(B45:B45,B45)=1,B45,""))</f>
        <v/>
      </c>
    </row>
    <row r="46" ht="15" customHeight="1">
      <c r="A46" s="29" t="n"/>
      <c r="B46" s="14" t="n"/>
      <c r="C46" s="22" t="n"/>
      <c r="D46" s="24" t="n"/>
      <c r="E46" s="31">
        <f>IF(B46="","",COUNTIF($V$10:V46,B46))</f>
        <v/>
      </c>
      <c r="F46" s="41">
        <f>IF(V46="","",IF(E46&gt;=IF(N($C$5)&gt;0,$C$5,3),"Revient : appeler",IF(E46&gt;=2,"Déjà dans la liste","")))</f>
        <v/>
      </c>
      <c r="G46" s="14" t="n"/>
      <c r="H46" s="14" t="n"/>
      <c r="I46" s="14" t="n"/>
      <c r="V46" s="9">
        <f>IF(B46="","",IF(COUNTIF(B45:B46,B46)=1,B46,""))</f>
        <v/>
      </c>
    </row>
    <row r="47" ht="15" customHeight="1">
      <c r="A47" s="29" t="n"/>
      <c r="B47" s="14" t="n"/>
      <c r="C47" s="22" t="n"/>
      <c r="D47" s="24" t="n"/>
      <c r="E47" s="31">
        <f>IF(B47="","",COUNTIF($V$10:V47,B47))</f>
        <v/>
      </c>
      <c r="F47" s="41">
        <f>IF(V47="","",IF(E47&gt;=IF(N($C$5)&gt;0,$C$5,3),"Revient : appeler",IF(E47&gt;=2,"Déjà dans la liste","")))</f>
        <v/>
      </c>
      <c r="G47" s="14" t="n"/>
      <c r="H47" s="14" t="n"/>
      <c r="I47" s="14" t="n"/>
      <c r="V47" s="9">
        <f>IF(B47="","",IF(COUNTIF(B45:B47,B47)=1,B47,""))</f>
        <v/>
      </c>
    </row>
    <row r="48" ht="15" customHeight="1">
      <c r="A48" s="29" t="n"/>
      <c r="B48" s="14" t="n"/>
      <c r="C48" s="22" t="n"/>
      <c r="D48" s="24" t="n"/>
      <c r="E48" s="31">
        <f>IF(B48="","",COUNTIF($V$10:V48,B48))</f>
        <v/>
      </c>
      <c r="F48" s="41">
        <f>IF(V48="","",IF(E48&gt;=IF(N($C$5)&gt;0,$C$5,3),"Revient : appeler",IF(E48&gt;=2,"Déjà dans la liste","")))</f>
        <v/>
      </c>
      <c r="G48" s="14" t="n"/>
      <c r="H48" s="14" t="n"/>
      <c r="I48" s="14" t="n"/>
      <c r="V48" s="9">
        <f>IF(B48="","",IF(COUNTIF(B45:B48,B48)=1,B48,""))</f>
        <v/>
      </c>
    </row>
    <row r="49" ht="15" customHeight="1">
      <c r="A49" s="29" t="n"/>
      <c r="B49" s="14" t="n"/>
      <c r="C49" s="22" t="n"/>
      <c r="D49" s="24" t="n"/>
      <c r="E49" s="31">
        <f>IF(B49="","",COUNTIF($V$10:V49,B49))</f>
        <v/>
      </c>
      <c r="F49" s="41">
        <f>IF(V49="","",IF(E49&gt;=IF(N($C$5)&gt;0,$C$5,3),"Revient : appeler",IF(E49&gt;=2,"Déjà dans la liste","")))</f>
        <v/>
      </c>
      <c r="G49" s="14" t="n"/>
      <c r="H49" s="14" t="n"/>
      <c r="I49" s="14" t="n"/>
      <c r="V49" s="9">
        <f>IF(B49="","",IF(COUNTIF(B45:B49,B49)=1,B49,""))</f>
        <v/>
      </c>
    </row>
    <row r="50" ht="15" customHeight="1">
      <c r="A50" s="35">
        <f>IF($C$4="","",$C$4+56)</f>
        <v/>
      </c>
      <c r="B50" s="36" t="n"/>
      <c r="C50" s="37" t="n"/>
      <c r="D50" s="38" t="n"/>
      <c r="E50" s="39">
        <f>IF(B50="","",COUNTIF($V$10:V50,B50))</f>
        <v/>
      </c>
      <c r="F50" s="40">
        <f>IF(V50="","",IF(E50&gt;=IF(N($C$5)&gt;0,$C$5,3),"Revient : appeler",IF(E50&gt;=2,"Déjà dans la liste","")))</f>
        <v/>
      </c>
      <c r="G50" s="36" t="n"/>
      <c r="H50" s="36" t="n"/>
      <c r="I50" s="36" t="n"/>
      <c r="V50" s="9">
        <f>IF(B50="","",IF(COUNTIF(B50:B50,B50)=1,B50,""))</f>
        <v/>
      </c>
    </row>
    <row r="51" ht="15" customHeight="1">
      <c r="A51" s="29" t="n"/>
      <c r="B51" s="14" t="n"/>
      <c r="C51" s="22" t="n"/>
      <c r="D51" s="24" t="n"/>
      <c r="E51" s="31">
        <f>IF(B51="","",COUNTIF($V$10:V51,B51))</f>
        <v/>
      </c>
      <c r="F51" s="41">
        <f>IF(V51="","",IF(E51&gt;=IF(N($C$5)&gt;0,$C$5,3),"Revient : appeler",IF(E51&gt;=2,"Déjà dans la liste","")))</f>
        <v/>
      </c>
      <c r="G51" s="14" t="n"/>
      <c r="H51" s="14" t="n"/>
      <c r="I51" s="14" t="n"/>
      <c r="V51" s="9">
        <f>IF(B51="","",IF(COUNTIF(B50:B51,B51)=1,B51,""))</f>
        <v/>
      </c>
    </row>
    <row r="52" ht="15" customHeight="1">
      <c r="A52" s="29" t="n"/>
      <c r="B52" s="14" t="n"/>
      <c r="C52" s="22" t="n"/>
      <c r="D52" s="24" t="n"/>
      <c r="E52" s="31">
        <f>IF(B52="","",COUNTIF($V$10:V52,B52))</f>
        <v/>
      </c>
      <c r="F52" s="41">
        <f>IF(V52="","",IF(E52&gt;=IF(N($C$5)&gt;0,$C$5,3),"Revient : appeler",IF(E52&gt;=2,"Déjà dans la liste","")))</f>
        <v/>
      </c>
      <c r="G52" s="14" t="n"/>
      <c r="H52" s="14" t="n"/>
      <c r="I52" s="14" t="n"/>
      <c r="V52" s="9">
        <f>IF(B52="","",IF(COUNTIF(B50:B52,B52)=1,B52,""))</f>
        <v/>
      </c>
    </row>
    <row r="53" ht="15" customHeight="1">
      <c r="A53" s="29" t="n"/>
      <c r="B53" s="14" t="n"/>
      <c r="C53" s="22" t="n"/>
      <c r="D53" s="24" t="n"/>
      <c r="E53" s="31">
        <f>IF(B53="","",COUNTIF($V$10:V53,B53))</f>
        <v/>
      </c>
      <c r="F53" s="41">
        <f>IF(V53="","",IF(E53&gt;=IF(N($C$5)&gt;0,$C$5,3),"Revient : appeler",IF(E53&gt;=2,"Déjà dans la liste","")))</f>
        <v/>
      </c>
      <c r="G53" s="14" t="n"/>
      <c r="H53" s="14" t="n"/>
      <c r="I53" s="14" t="n"/>
      <c r="V53" s="9">
        <f>IF(B53="","",IF(COUNTIF(B50:B53,B53)=1,B53,""))</f>
        <v/>
      </c>
    </row>
    <row r="54" ht="15" customHeight="1">
      <c r="A54" s="29" t="n"/>
      <c r="B54" s="14" t="n"/>
      <c r="C54" s="22" t="n"/>
      <c r="D54" s="24" t="n"/>
      <c r="E54" s="31">
        <f>IF(B54="","",COUNTIF($V$10:V54,B54))</f>
        <v/>
      </c>
      <c r="F54" s="41">
        <f>IF(V54="","",IF(E54&gt;=IF(N($C$5)&gt;0,$C$5,3),"Revient : appeler",IF(E54&gt;=2,"Déjà dans la liste","")))</f>
        <v/>
      </c>
      <c r="G54" s="14" t="n"/>
      <c r="H54" s="14" t="n"/>
      <c r="I54" s="14" t="n"/>
      <c r="V54" s="9">
        <f>IF(B54="","",IF(COUNTIF(B50:B54,B54)=1,B54,""))</f>
        <v/>
      </c>
    </row>
    <row r="55" ht="15" customHeight="1">
      <c r="A55" s="35">
        <f>IF($C$4="","",$C$4+63)</f>
        <v/>
      </c>
      <c r="B55" s="36" t="n"/>
      <c r="C55" s="37" t="n"/>
      <c r="D55" s="38" t="n"/>
      <c r="E55" s="39">
        <f>IF(B55="","",COUNTIF($V$10:V55,B55))</f>
        <v/>
      </c>
      <c r="F55" s="40">
        <f>IF(V55="","",IF(E55&gt;=IF(N($C$5)&gt;0,$C$5,3),"Revient : appeler",IF(E55&gt;=2,"Déjà dans la liste","")))</f>
        <v/>
      </c>
      <c r="G55" s="36" t="n"/>
      <c r="H55" s="36" t="n"/>
      <c r="I55" s="36" t="n"/>
      <c r="V55" s="9">
        <f>IF(B55="","",IF(COUNTIF(B55:B55,B55)=1,B55,""))</f>
        <v/>
      </c>
    </row>
    <row r="56" ht="15" customHeight="1">
      <c r="A56" s="29" t="n"/>
      <c r="B56" s="14" t="n"/>
      <c r="C56" s="22" t="n"/>
      <c r="D56" s="24" t="n"/>
      <c r="E56" s="31">
        <f>IF(B56="","",COUNTIF($V$10:V56,B56))</f>
        <v/>
      </c>
      <c r="F56" s="41">
        <f>IF(V56="","",IF(E56&gt;=IF(N($C$5)&gt;0,$C$5,3),"Revient : appeler",IF(E56&gt;=2,"Déjà dans la liste","")))</f>
        <v/>
      </c>
      <c r="G56" s="14" t="n"/>
      <c r="H56" s="14" t="n"/>
      <c r="I56" s="14" t="n"/>
      <c r="V56" s="9">
        <f>IF(B56="","",IF(COUNTIF(B55:B56,B56)=1,B56,""))</f>
        <v/>
      </c>
    </row>
    <row r="57" ht="15" customHeight="1">
      <c r="A57" s="29" t="n"/>
      <c r="B57" s="14" t="n"/>
      <c r="C57" s="22" t="n"/>
      <c r="D57" s="24" t="n"/>
      <c r="E57" s="31">
        <f>IF(B57="","",COUNTIF($V$10:V57,B57))</f>
        <v/>
      </c>
      <c r="F57" s="41">
        <f>IF(V57="","",IF(E57&gt;=IF(N($C$5)&gt;0,$C$5,3),"Revient : appeler",IF(E57&gt;=2,"Déjà dans la liste","")))</f>
        <v/>
      </c>
      <c r="G57" s="14" t="n"/>
      <c r="H57" s="14" t="n"/>
      <c r="I57" s="14" t="n"/>
      <c r="V57" s="9">
        <f>IF(B57="","",IF(COUNTIF(B55:B57,B57)=1,B57,""))</f>
        <v/>
      </c>
    </row>
    <row r="58" ht="15" customHeight="1">
      <c r="A58" s="29" t="n"/>
      <c r="B58" s="14" t="n"/>
      <c r="C58" s="22" t="n"/>
      <c r="D58" s="24" t="n"/>
      <c r="E58" s="31">
        <f>IF(B58="","",COUNTIF($V$10:V58,B58))</f>
        <v/>
      </c>
      <c r="F58" s="41">
        <f>IF(V58="","",IF(E58&gt;=IF(N($C$5)&gt;0,$C$5,3),"Revient : appeler",IF(E58&gt;=2,"Déjà dans la liste","")))</f>
        <v/>
      </c>
      <c r="G58" s="14" t="n"/>
      <c r="H58" s="14" t="n"/>
      <c r="I58" s="14" t="n"/>
      <c r="V58" s="9">
        <f>IF(B58="","",IF(COUNTIF(B55:B58,B58)=1,B58,""))</f>
        <v/>
      </c>
    </row>
    <row r="59" ht="15" customHeight="1">
      <c r="A59" s="29" t="n"/>
      <c r="B59" s="14" t="n"/>
      <c r="C59" s="22" t="n"/>
      <c r="D59" s="24" t="n"/>
      <c r="E59" s="31">
        <f>IF(B59="","",COUNTIF($V$10:V59,B59))</f>
        <v/>
      </c>
      <c r="F59" s="41">
        <f>IF(V59="","",IF(E59&gt;=IF(N($C$5)&gt;0,$C$5,3),"Revient : appeler",IF(E59&gt;=2,"Déjà dans la liste","")))</f>
        <v/>
      </c>
      <c r="G59" s="14" t="n"/>
      <c r="H59" s="14" t="n"/>
      <c r="I59" s="14" t="n"/>
      <c r="V59" s="9">
        <f>IF(B59="","",IF(COUNTIF(B55:B59,B59)=1,B59,""))</f>
        <v/>
      </c>
    </row>
    <row r="60" ht="15" customHeight="1">
      <c r="A60" s="35">
        <f>IF($C$4="","",$C$4+70)</f>
        <v/>
      </c>
      <c r="B60" s="36" t="n"/>
      <c r="C60" s="37" t="n"/>
      <c r="D60" s="38" t="n"/>
      <c r="E60" s="39">
        <f>IF(B60="","",COUNTIF($V$10:V60,B60))</f>
        <v/>
      </c>
      <c r="F60" s="40">
        <f>IF(V60="","",IF(E60&gt;=IF(N($C$5)&gt;0,$C$5,3),"Revient : appeler",IF(E60&gt;=2,"Déjà dans la liste","")))</f>
        <v/>
      </c>
      <c r="G60" s="36" t="n"/>
      <c r="H60" s="36" t="n"/>
      <c r="I60" s="36" t="n"/>
      <c r="V60" s="9">
        <f>IF(B60="","",IF(COUNTIF(B60:B60,B60)=1,B60,""))</f>
        <v/>
      </c>
    </row>
    <row r="61" ht="15" customHeight="1">
      <c r="A61" s="29" t="n"/>
      <c r="B61" s="14" t="n"/>
      <c r="C61" s="22" t="n"/>
      <c r="D61" s="24" t="n"/>
      <c r="E61" s="31">
        <f>IF(B61="","",COUNTIF($V$10:V61,B61))</f>
        <v/>
      </c>
      <c r="F61" s="41">
        <f>IF(V61="","",IF(E61&gt;=IF(N($C$5)&gt;0,$C$5,3),"Revient : appeler",IF(E61&gt;=2,"Déjà dans la liste","")))</f>
        <v/>
      </c>
      <c r="G61" s="14" t="n"/>
      <c r="H61" s="14" t="n"/>
      <c r="I61" s="14" t="n"/>
      <c r="V61" s="9">
        <f>IF(B61="","",IF(COUNTIF(B60:B61,B61)=1,B61,""))</f>
        <v/>
      </c>
    </row>
    <row r="62" ht="15" customHeight="1">
      <c r="A62" s="29" t="n"/>
      <c r="B62" s="14" t="n"/>
      <c r="C62" s="22" t="n"/>
      <c r="D62" s="24" t="n"/>
      <c r="E62" s="31">
        <f>IF(B62="","",COUNTIF($V$10:V62,B62))</f>
        <v/>
      </c>
      <c r="F62" s="41">
        <f>IF(V62="","",IF(E62&gt;=IF(N($C$5)&gt;0,$C$5,3),"Revient : appeler",IF(E62&gt;=2,"Déjà dans la liste","")))</f>
        <v/>
      </c>
      <c r="G62" s="14" t="n"/>
      <c r="H62" s="14" t="n"/>
      <c r="I62" s="14" t="n"/>
      <c r="V62" s="9">
        <f>IF(B62="","",IF(COUNTIF(B60:B62,B62)=1,B62,""))</f>
        <v/>
      </c>
    </row>
    <row r="63" ht="15" customHeight="1">
      <c r="A63" s="29" t="n"/>
      <c r="B63" s="14" t="n"/>
      <c r="C63" s="22" t="n"/>
      <c r="D63" s="24" t="n"/>
      <c r="E63" s="31">
        <f>IF(B63="","",COUNTIF($V$10:V63,B63))</f>
        <v/>
      </c>
      <c r="F63" s="41">
        <f>IF(V63="","",IF(E63&gt;=IF(N($C$5)&gt;0,$C$5,3),"Revient : appeler",IF(E63&gt;=2,"Déjà dans la liste","")))</f>
        <v/>
      </c>
      <c r="G63" s="14" t="n"/>
      <c r="H63" s="14" t="n"/>
      <c r="I63" s="14" t="n"/>
      <c r="V63" s="9">
        <f>IF(B63="","",IF(COUNTIF(B60:B63,B63)=1,B63,""))</f>
        <v/>
      </c>
    </row>
    <row r="64" ht="15" customHeight="1">
      <c r="A64" s="29" t="n"/>
      <c r="B64" s="14" t="n"/>
      <c r="C64" s="22" t="n"/>
      <c r="D64" s="24" t="n"/>
      <c r="E64" s="31">
        <f>IF(B64="","",COUNTIF($V$10:V64,B64))</f>
        <v/>
      </c>
      <c r="F64" s="41">
        <f>IF(V64="","",IF(E64&gt;=IF(N($C$5)&gt;0,$C$5,3),"Revient : appeler",IF(E64&gt;=2,"Déjà dans la liste","")))</f>
        <v/>
      </c>
      <c r="G64" s="14" t="n"/>
      <c r="H64" s="14" t="n"/>
      <c r="I64" s="14" t="n"/>
      <c r="V64" s="9">
        <f>IF(B64="","",IF(COUNTIF(B60:B64,B64)=1,B64,""))</f>
        <v/>
      </c>
    </row>
    <row r="65" ht="15" customHeight="1">
      <c r="A65" s="35">
        <f>IF($C$4="","",$C$4+77)</f>
        <v/>
      </c>
      <c r="B65" s="36" t="n"/>
      <c r="C65" s="37" t="n"/>
      <c r="D65" s="38" t="n"/>
      <c r="E65" s="39">
        <f>IF(B65="","",COUNTIF($V$10:V65,B65))</f>
        <v/>
      </c>
      <c r="F65" s="40">
        <f>IF(V65="","",IF(E65&gt;=IF(N($C$5)&gt;0,$C$5,3),"Revient : appeler",IF(E65&gt;=2,"Déjà dans la liste","")))</f>
        <v/>
      </c>
      <c r="G65" s="36" t="n"/>
      <c r="H65" s="36" t="n"/>
      <c r="I65" s="36" t="n"/>
      <c r="V65" s="9">
        <f>IF(B65="","",IF(COUNTIF(B65:B65,B65)=1,B65,""))</f>
        <v/>
      </c>
    </row>
    <row r="66" ht="15" customHeight="1">
      <c r="A66" s="29" t="n"/>
      <c r="B66" s="14" t="n"/>
      <c r="C66" s="22" t="n"/>
      <c r="D66" s="24" t="n"/>
      <c r="E66" s="31">
        <f>IF(B66="","",COUNTIF($V$10:V66,B66))</f>
        <v/>
      </c>
      <c r="F66" s="41">
        <f>IF(V66="","",IF(E66&gt;=IF(N($C$5)&gt;0,$C$5,3),"Revient : appeler",IF(E66&gt;=2,"Déjà dans la liste","")))</f>
        <v/>
      </c>
      <c r="G66" s="14" t="n"/>
      <c r="H66" s="14" t="n"/>
      <c r="I66" s="14" t="n"/>
      <c r="V66" s="9">
        <f>IF(B66="","",IF(COUNTIF(B65:B66,B66)=1,B66,""))</f>
        <v/>
      </c>
    </row>
    <row r="67" ht="15" customHeight="1">
      <c r="A67" s="29" t="n"/>
      <c r="B67" s="14" t="n"/>
      <c r="C67" s="22" t="n"/>
      <c r="D67" s="24" t="n"/>
      <c r="E67" s="31">
        <f>IF(B67="","",COUNTIF($V$10:V67,B67))</f>
        <v/>
      </c>
      <c r="F67" s="41">
        <f>IF(V67="","",IF(E67&gt;=IF(N($C$5)&gt;0,$C$5,3),"Revient : appeler",IF(E67&gt;=2,"Déjà dans la liste","")))</f>
        <v/>
      </c>
      <c r="G67" s="14" t="n"/>
      <c r="H67" s="14" t="n"/>
      <c r="I67" s="14" t="n"/>
      <c r="V67" s="9">
        <f>IF(B67="","",IF(COUNTIF(B65:B67,B67)=1,B67,""))</f>
        <v/>
      </c>
    </row>
    <row r="68" ht="15" customHeight="1">
      <c r="A68" s="29" t="n"/>
      <c r="B68" s="14" t="n"/>
      <c r="C68" s="22" t="n"/>
      <c r="D68" s="24" t="n"/>
      <c r="E68" s="31">
        <f>IF(B68="","",COUNTIF($V$10:V68,B68))</f>
        <v/>
      </c>
      <c r="F68" s="41">
        <f>IF(V68="","",IF(E68&gt;=IF(N($C$5)&gt;0,$C$5,3),"Revient : appeler",IF(E68&gt;=2,"Déjà dans la liste","")))</f>
        <v/>
      </c>
      <c r="G68" s="14" t="n"/>
      <c r="H68" s="14" t="n"/>
      <c r="I68" s="14" t="n"/>
      <c r="V68" s="9">
        <f>IF(B68="","",IF(COUNTIF(B65:B68,B68)=1,B68,""))</f>
        <v/>
      </c>
    </row>
    <row r="69" ht="15" customHeight="1">
      <c r="A69" s="29" t="n"/>
      <c r="B69" s="14" t="n"/>
      <c r="C69" s="22" t="n"/>
      <c r="D69" s="24" t="n"/>
      <c r="E69" s="31">
        <f>IF(B69="","",COUNTIF($V$10:V69,B69))</f>
        <v/>
      </c>
      <c r="F69" s="41">
        <f>IF(V69="","",IF(E69&gt;=IF(N($C$5)&gt;0,$C$5,3),"Revient : appeler",IF(E69&gt;=2,"Déjà dans la liste","")))</f>
        <v/>
      </c>
      <c r="G69" s="14" t="n"/>
      <c r="H69" s="14" t="n"/>
      <c r="I69" s="14" t="n"/>
      <c r="V69" s="9">
        <f>IF(B69="","",IF(COUNTIF(B65:B69,B69)=1,B69,""))</f>
        <v/>
      </c>
    </row>
    <row r="70" ht="15" customHeight="1">
      <c r="A70" s="35">
        <f>IF($C$4="","",$C$4+84)</f>
        <v/>
      </c>
      <c r="B70" s="36" t="n"/>
      <c r="C70" s="37" t="n"/>
      <c r="D70" s="38" t="n"/>
      <c r="E70" s="39">
        <f>IF(B70="","",COUNTIF($V$10:V70,B70))</f>
        <v/>
      </c>
      <c r="F70" s="40">
        <f>IF(V70="","",IF(E70&gt;=IF(N($C$5)&gt;0,$C$5,3),"Revient : appeler",IF(E70&gt;=2,"Déjà dans la liste","")))</f>
        <v/>
      </c>
      <c r="G70" s="36" t="n"/>
      <c r="H70" s="36" t="n"/>
      <c r="I70" s="36" t="n"/>
      <c r="V70" s="9">
        <f>IF(B70="","",IF(COUNTIF(B70:B70,B70)=1,B70,""))</f>
        <v/>
      </c>
    </row>
    <row r="71" ht="15" customHeight="1">
      <c r="A71" s="29" t="n"/>
      <c r="B71" s="14" t="n"/>
      <c r="C71" s="22" t="n"/>
      <c r="D71" s="24" t="n"/>
      <c r="E71" s="31">
        <f>IF(B71="","",COUNTIF($V$10:V71,B71))</f>
        <v/>
      </c>
      <c r="F71" s="41">
        <f>IF(V71="","",IF(E71&gt;=IF(N($C$5)&gt;0,$C$5,3),"Revient : appeler",IF(E71&gt;=2,"Déjà dans la liste","")))</f>
        <v/>
      </c>
      <c r="G71" s="14" t="n"/>
      <c r="H71" s="14" t="n"/>
      <c r="I71" s="14" t="n"/>
      <c r="V71" s="9">
        <f>IF(B71="","",IF(COUNTIF(B70:B71,B71)=1,B71,""))</f>
        <v/>
      </c>
    </row>
    <row r="72" ht="15" customHeight="1">
      <c r="A72" s="29" t="n"/>
      <c r="B72" s="14" t="n"/>
      <c r="C72" s="22" t="n"/>
      <c r="D72" s="24" t="n"/>
      <c r="E72" s="31">
        <f>IF(B72="","",COUNTIF($V$10:V72,B72))</f>
        <v/>
      </c>
      <c r="F72" s="41">
        <f>IF(V72="","",IF(E72&gt;=IF(N($C$5)&gt;0,$C$5,3),"Revient : appeler",IF(E72&gt;=2,"Déjà dans la liste","")))</f>
        <v/>
      </c>
      <c r="G72" s="14" t="n"/>
      <c r="H72" s="14" t="n"/>
      <c r="I72" s="14" t="n"/>
      <c r="V72" s="9">
        <f>IF(B72="","",IF(COUNTIF(B70:B72,B72)=1,B72,""))</f>
        <v/>
      </c>
    </row>
    <row r="73" ht="15" customHeight="1">
      <c r="A73" s="29" t="n"/>
      <c r="B73" s="14" t="n"/>
      <c r="C73" s="22" t="n"/>
      <c r="D73" s="24" t="n"/>
      <c r="E73" s="31">
        <f>IF(B73="","",COUNTIF($V$10:V73,B73))</f>
        <v/>
      </c>
      <c r="F73" s="41">
        <f>IF(V73="","",IF(E73&gt;=IF(N($C$5)&gt;0,$C$5,3),"Revient : appeler",IF(E73&gt;=2,"Déjà dans la liste","")))</f>
        <v/>
      </c>
      <c r="G73" s="14" t="n"/>
      <c r="H73" s="14" t="n"/>
      <c r="I73" s="14" t="n"/>
      <c r="V73" s="9">
        <f>IF(B73="","",IF(COUNTIF(B70:B73,B73)=1,B73,""))</f>
        <v/>
      </c>
    </row>
    <row r="74" ht="15" customHeight="1">
      <c r="A74" s="29" t="n"/>
      <c r="B74" s="14" t="n"/>
      <c r="C74" s="22" t="n"/>
      <c r="D74" s="24" t="n"/>
      <c r="E74" s="31">
        <f>IF(B74="","",COUNTIF($V$10:V74,B74))</f>
        <v/>
      </c>
      <c r="F74" s="41">
        <f>IF(V74="","",IF(E74&gt;=IF(N($C$5)&gt;0,$C$5,3),"Revient : appeler",IF(E74&gt;=2,"Déjà dans la liste","")))</f>
        <v/>
      </c>
      <c r="G74" s="14" t="n"/>
      <c r="H74" s="14" t="n"/>
      <c r="I74" s="14" t="n"/>
      <c r="V74" s="9">
        <f>IF(B74="","",IF(COUNTIF(B70:B74,B74)=1,B74,""))</f>
        <v/>
      </c>
    </row>
    <row r="75" ht="15" customHeight="1">
      <c r="A75" s="35">
        <f>IF($C$4="","",$C$4+91)</f>
        <v/>
      </c>
      <c r="B75" s="36" t="n"/>
      <c r="C75" s="37" t="n"/>
      <c r="D75" s="38" t="n"/>
      <c r="E75" s="39">
        <f>IF(B75="","",COUNTIF($V$10:V75,B75))</f>
        <v/>
      </c>
      <c r="F75" s="40">
        <f>IF(V75="","",IF(E75&gt;=IF(N($C$5)&gt;0,$C$5,3),"Revient : appeler",IF(E75&gt;=2,"Déjà dans la liste","")))</f>
        <v/>
      </c>
      <c r="G75" s="36" t="n"/>
      <c r="H75" s="36" t="n"/>
      <c r="I75" s="36" t="n"/>
      <c r="V75" s="9">
        <f>IF(B75="","",IF(COUNTIF(B75:B75,B75)=1,B75,""))</f>
        <v/>
      </c>
    </row>
    <row r="76" ht="15" customHeight="1">
      <c r="A76" s="29" t="n"/>
      <c r="B76" s="14" t="n"/>
      <c r="C76" s="22" t="n"/>
      <c r="D76" s="24" t="n"/>
      <c r="E76" s="31">
        <f>IF(B76="","",COUNTIF($V$10:V76,B76))</f>
        <v/>
      </c>
      <c r="F76" s="41">
        <f>IF(V76="","",IF(E76&gt;=IF(N($C$5)&gt;0,$C$5,3),"Revient : appeler",IF(E76&gt;=2,"Déjà dans la liste","")))</f>
        <v/>
      </c>
      <c r="G76" s="14" t="n"/>
      <c r="H76" s="14" t="n"/>
      <c r="I76" s="14" t="n"/>
      <c r="V76" s="9">
        <f>IF(B76="","",IF(COUNTIF(B75:B76,B76)=1,B76,""))</f>
        <v/>
      </c>
    </row>
    <row r="77" ht="15" customHeight="1">
      <c r="A77" s="29" t="n"/>
      <c r="B77" s="14" t="n"/>
      <c r="C77" s="22" t="n"/>
      <c r="D77" s="24" t="n"/>
      <c r="E77" s="31">
        <f>IF(B77="","",COUNTIF($V$10:V77,B77))</f>
        <v/>
      </c>
      <c r="F77" s="41">
        <f>IF(V77="","",IF(E77&gt;=IF(N($C$5)&gt;0,$C$5,3),"Revient : appeler",IF(E77&gt;=2,"Déjà dans la liste","")))</f>
        <v/>
      </c>
      <c r="G77" s="14" t="n"/>
      <c r="H77" s="14" t="n"/>
      <c r="I77" s="14" t="n"/>
      <c r="V77" s="9">
        <f>IF(B77="","",IF(COUNTIF(B75:B77,B77)=1,B77,""))</f>
        <v/>
      </c>
    </row>
    <row r="78" ht="15" customHeight="1">
      <c r="A78" s="29" t="n"/>
      <c r="B78" s="14" t="n"/>
      <c r="C78" s="22" t="n"/>
      <c r="D78" s="24" t="n"/>
      <c r="E78" s="31">
        <f>IF(B78="","",COUNTIF($V$10:V78,B78))</f>
        <v/>
      </c>
      <c r="F78" s="41">
        <f>IF(V78="","",IF(E78&gt;=IF(N($C$5)&gt;0,$C$5,3),"Revient : appeler",IF(E78&gt;=2,"Déjà dans la liste","")))</f>
        <v/>
      </c>
      <c r="G78" s="14" t="n"/>
      <c r="H78" s="14" t="n"/>
      <c r="I78" s="14" t="n"/>
      <c r="V78" s="9">
        <f>IF(B78="","",IF(COUNTIF(B75:B78,B78)=1,B78,""))</f>
        <v/>
      </c>
    </row>
    <row r="79" ht="15" customHeight="1">
      <c r="A79" s="29" t="n"/>
      <c r="B79" s="14" t="n"/>
      <c r="C79" s="22" t="n"/>
      <c r="D79" s="24" t="n"/>
      <c r="E79" s="31">
        <f>IF(B79="","",COUNTIF($V$10:V79,B79))</f>
        <v/>
      </c>
      <c r="F79" s="41">
        <f>IF(V79="","",IF(E79&gt;=IF(N($C$5)&gt;0,$C$5,3),"Revient : appeler",IF(E79&gt;=2,"Déjà dans la liste","")))</f>
        <v/>
      </c>
      <c r="G79" s="14" t="n"/>
      <c r="H79" s="14" t="n"/>
      <c r="I79" s="14" t="n"/>
      <c r="V79" s="9">
        <f>IF(B79="","",IF(COUNTIF(B75:B79,B79)=1,B79,""))</f>
        <v/>
      </c>
    </row>
    <row r="80" ht="15" customHeight="1">
      <c r="A80" s="35">
        <f>IF($C$4="","",$C$4+98)</f>
        <v/>
      </c>
      <c r="B80" s="36" t="n"/>
      <c r="C80" s="37" t="n"/>
      <c r="D80" s="38" t="n"/>
      <c r="E80" s="39">
        <f>IF(B80="","",COUNTIF($V$10:V80,B80))</f>
        <v/>
      </c>
      <c r="F80" s="40">
        <f>IF(V80="","",IF(E80&gt;=IF(N($C$5)&gt;0,$C$5,3),"Revient : appeler",IF(E80&gt;=2,"Déjà dans la liste","")))</f>
        <v/>
      </c>
      <c r="G80" s="36" t="n"/>
      <c r="H80" s="36" t="n"/>
      <c r="I80" s="36" t="n"/>
      <c r="V80" s="9">
        <f>IF(B80="","",IF(COUNTIF(B80:B80,B80)=1,B80,""))</f>
        <v/>
      </c>
    </row>
    <row r="81" ht="15" customHeight="1">
      <c r="A81" s="29" t="n"/>
      <c r="B81" s="14" t="n"/>
      <c r="C81" s="22" t="n"/>
      <c r="D81" s="24" t="n"/>
      <c r="E81" s="31">
        <f>IF(B81="","",COUNTIF($V$10:V81,B81))</f>
        <v/>
      </c>
      <c r="F81" s="41">
        <f>IF(V81="","",IF(E81&gt;=IF(N($C$5)&gt;0,$C$5,3),"Revient : appeler",IF(E81&gt;=2,"Déjà dans la liste","")))</f>
        <v/>
      </c>
      <c r="G81" s="14" t="n"/>
      <c r="H81" s="14" t="n"/>
      <c r="I81" s="14" t="n"/>
      <c r="V81" s="9">
        <f>IF(B81="","",IF(COUNTIF(B80:B81,B81)=1,B81,""))</f>
        <v/>
      </c>
    </row>
    <row r="82" ht="15" customHeight="1">
      <c r="A82" s="29" t="n"/>
      <c r="B82" s="14" t="n"/>
      <c r="C82" s="22" t="n"/>
      <c r="D82" s="24" t="n"/>
      <c r="E82" s="31">
        <f>IF(B82="","",COUNTIF($V$10:V82,B82))</f>
        <v/>
      </c>
      <c r="F82" s="41">
        <f>IF(V82="","",IF(E82&gt;=IF(N($C$5)&gt;0,$C$5,3),"Revient : appeler",IF(E82&gt;=2,"Déjà dans la liste","")))</f>
        <v/>
      </c>
      <c r="G82" s="14" t="n"/>
      <c r="H82" s="14" t="n"/>
      <c r="I82" s="14" t="n"/>
      <c r="V82" s="9">
        <f>IF(B82="","",IF(COUNTIF(B80:B82,B82)=1,B82,""))</f>
        <v/>
      </c>
    </row>
    <row r="83" ht="15" customHeight="1">
      <c r="A83" s="29" t="n"/>
      <c r="B83" s="14" t="n"/>
      <c r="C83" s="22" t="n"/>
      <c r="D83" s="24" t="n"/>
      <c r="E83" s="31">
        <f>IF(B83="","",COUNTIF($V$10:V83,B83))</f>
        <v/>
      </c>
      <c r="F83" s="41">
        <f>IF(V83="","",IF(E83&gt;=IF(N($C$5)&gt;0,$C$5,3),"Revient : appeler",IF(E83&gt;=2,"Déjà dans la liste","")))</f>
        <v/>
      </c>
      <c r="G83" s="14" t="n"/>
      <c r="H83" s="14" t="n"/>
      <c r="I83" s="14" t="n"/>
      <c r="V83" s="9">
        <f>IF(B83="","",IF(COUNTIF(B80:B83,B83)=1,B83,""))</f>
        <v/>
      </c>
    </row>
    <row r="84" ht="15" customHeight="1">
      <c r="A84" s="29" t="n"/>
      <c r="B84" s="14" t="n"/>
      <c r="C84" s="22" t="n"/>
      <c r="D84" s="24" t="n"/>
      <c r="E84" s="31">
        <f>IF(B84="","",COUNTIF($V$10:V84,B84))</f>
        <v/>
      </c>
      <c r="F84" s="41">
        <f>IF(V84="","",IF(E84&gt;=IF(N($C$5)&gt;0,$C$5,3),"Revient : appeler",IF(E84&gt;=2,"Déjà dans la liste","")))</f>
        <v/>
      </c>
      <c r="G84" s="14" t="n"/>
      <c r="H84" s="14" t="n"/>
      <c r="I84" s="14" t="n"/>
      <c r="V84" s="9">
        <f>IF(B84="","",IF(COUNTIF(B80:B84,B84)=1,B84,""))</f>
        <v/>
      </c>
    </row>
    <row r="85" ht="15" customHeight="1">
      <c r="A85" s="35">
        <f>IF($C$4="","",$C$4+105)</f>
        <v/>
      </c>
      <c r="B85" s="36" t="n"/>
      <c r="C85" s="37" t="n"/>
      <c r="D85" s="38" t="n"/>
      <c r="E85" s="39">
        <f>IF(B85="","",COUNTIF($V$10:V85,B85))</f>
        <v/>
      </c>
      <c r="F85" s="40">
        <f>IF(V85="","",IF(E85&gt;=IF(N($C$5)&gt;0,$C$5,3),"Revient : appeler",IF(E85&gt;=2,"Déjà dans la liste","")))</f>
        <v/>
      </c>
      <c r="G85" s="36" t="n"/>
      <c r="H85" s="36" t="n"/>
      <c r="I85" s="36" t="n"/>
      <c r="V85" s="9">
        <f>IF(B85="","",IF(COUNTIF(B85:B85,B85)=1,B85,""))</f>
        <v/>
      </c>
    </row>
    <row r="86" ht="15" customHeight="1">
      <c r="A86" s="29" t="n"/>
      <c r="B86" s="14" t="n"/>
      <c r="C86" s="22" t="n"/>
      <c r="D86" s="24" t="n"/>
      <c r="E86" s="31">
        <f>IF(B86="","",COUNTIF($V$10:V86,B86))</f>
        <v/>
      </c>
      <c r="F86" s="41">
        <f>IF(V86="","",IF(E86&gt;=IF(N($C$5)&gt;0,$C$5,3),"Revient : appeler",IF(E86&gt;=2,"Déjà dans la liste","")))</f>
        <v/>
      </c>
      <c r="G86" s="14" t="n"/>
      <c r="H86" s="14" t="n"/>
      <c r="I86" s="14" t="n"/>
      <c r="V86" s="9">
        <f>IF(B86="","",IF(COUNTIF(B85:B86,B86)=1,B86,""))</f>
        <v/>
      </c>
    </row>
    <row r="87" ht="15" customHeight="1">
      <c r="A87" s="29" t="n"/>
      <c r="B87" s="14" t="n"/>
      <c r="C87" s="22" t="n"/>
      <c r="D87" s="24" t="n"/>
      <c r="E87" s="31">
        <f>IF(B87="","",COUNTIF($V$10:V87,B87))</f>
        <v/>
      </c>
      <c r="F87" s="41">
        <f>IF(V87="","",IF(E87&gt;=IF(N($C$5)&gt;0,$C$5,3),"Revient : appeler",IF(E87&gt;=2,"Déjà dans la liste","")))</f>
        <v/>
      </c>
      <c r="G87" s="14" t="n"/>
      <c r="H87" s="14" t="n"/>
      <c r="I87" s="14" t="n"/>
      <c r="V87" s="9">
        <f>IF(B87="","",IF(COUNTIF(B85:B87,B87)=1,B87,""))</f>
        <v/>
      </c>
    </row>
    <row r="88" ht="15" customHeight="1">
      <c r="A88" s="29" t="n"/>
      <c r="B88" s="14" t="n"/>
      <c r="C88" s="22" t="n"/>
      <c r="D88" s="24" t="n"/>
      <c r="E88" s="31">
        <f>IF(B88="","",COUNTIF($V$10:V88,B88))</f>
        <v/>
      </c>
      <c r="F88" s="41">
        <f>IF(V88="","",IF(E88&gt;=IF(N($C$5)&gt;0,$C$5,3),"Revient : appeler",IF(E88&gt;=2,"Déjà dans la liste","")))</f>
        <v/>
      </c>
      <c r="G88" s="14" t="n"/>
      <c r="H88" s="14" t="n"/>
      <c r="I88" s="14" t="n"/>
      <c r="V88" s="9">
        <f>IF(B88="","",IF(COUNTIF(B85:B88,B88)=1,B88,""))</f>
        <v/>
      </c>
    </row>
    <row r="89" ht="15" customHeight="1">
      <c r="A89" s="29" t="n"/>
      <c r="B89" s="14" t="n"/>
      <c r="C89" s="22" t="n"/>
      <c r="D89" s="24" t="n"/>
      <c r="E89" s="31">
        <f>IF(B89="","",COUNTIF($V$10:V89,B89))</f>
        <v/>
      </c>
      <c r="F89" s="41">
        <f>IF(V89="","",IF(E89&gt;=IF(N($C$5)&gt;0,$C$5,3),"Revient : appeler",IF(E89&gt;=2,"Déjà dans la liste","")))</f>
        <v/>
      </c>
      <c r="G89" s="14" t="n"/>
      <c r="H89" s="14" t="n"/>
      <c r="I89" s="14" t="n"/>
      <c r="V89" s="9">
        <f>IF(B89="","",IF(COUNTIF(B85:B89,B89)=1,B89,""))</f>
        <v/>
      </c>
    </row>
    <row r="90" ht="15" customHeight="1">
      <c r="A90" s="35">
        <f>IF($C$4="","",$C$4+112)</f>
        <v/>
      </c>
      <c r="B90" s="36" t="n"/>
      <c r="C90" s="37" t="n"/>
      <c r="D90" s="38" t="n"/>
      <c r="E90" s="39">
        <f>IF(B90="","",COUNTIF($V$10:V90,B90))</f>
        <v/>
      </c>
      <c r="F90" s="40">
        <f>IF(V90="","",IF(E90&gt;=IF(N($C$5)&gt;0,$C$5,3),"Revient : appeler",IF(E90&gt;=2,"Déjà dans la liste","")))</f>
        <v/>
      </c>
      <c r="G90" s="36" t="n"/>
      <c r="H90" s="36" t="n"/>
      <c r="I90" s="36" t="n"/>
      <c r="V90" s="9">
        <f>IF(B90="","",IF(COUNTIF(B90:B90,B90)=1,B90,""))</f>
        <v/>
      </c>
    </row>
    <row r="91" ht="15" customHeight="1">
      <c r="A91" s="29" t="n"/>
      <c r="B91" s="14" t="n"/>
      <c r="C91" s="22" t="n"/>
      <c r="D91" s="24" t="n"/>
      <c r="E91" s="31">
        <f>IF(B91="","",COUNTIF($V$10:V91,B91))</f>
        <v/>
      </c>
      <c r="F91" s="41">
        <f>IF(V91="","",IF(E91&gt;=IF(N($C$5)&gt;0,$C$5,3),"Revient : appeler",IF(E91&gt;=2,"Déjà dans la liste","")))</f>
        <v/>
      </c>
      <c r="G91" s="14" t="n"/>
      <c r="H91" s="14" t="n"/>
      <c r="I91" s="14" t="n"/>
      <c r="V91" s="9">
        <f>IF(B91="","",IF(COUNTIF(B90:B91,B91)=1,B91,""))</f>
        <v/>
      </c>
    </row>
    <row r="92" ht="15" customHeight="1">
      <c r="A92" s="29" t="n"/>
      <c r="B92" s="14" t="n"/>
      <c r="C92" s="22" t="n"/>
      <c r="D92" s="24" t="n"/>
      <c r="E92" s="31">
        <f>IF(B92="","",COUNTIF($V$10:V92,B92))</f>
        <v/>
      </c>
      <c r="F92" s="41">
        <f>IF(V92="","",IF(E92&gt;=IF(N($C$5)&gt;0,$C$5,3),"Revient : appeler",IF(E92&gt;=2,"Déjà dans la liste","")))</f>
        <v/>
      </c>
      <c r="G92" s="14" t="n"/>
      <c r="H92" s="14" t="n"/>
      <c r="I92" s="14" t="n"/>
      <c r="V92" s="9">
        <f>IF(B92="","",IF(COUNTIF(B90:B92,B92)=1,B92,""))</f>
        <v/>
      </c>
    </row>
    <row r="93" ht="15" customHeight="1">
      <c r="A93" s="29" t="n"/>
      <c r="B93" s="14" t="n"/>
      <c r="C93" s="22" t="n"/>
      <c r="D93" s="24" t="n"/>
      <c r="E93" s="31">
        <f>IF(B93="","",COUNTIF($V$10:V93,B93))</f>
        <v/>
      </c>
      <c r="F93" s="41">
        <f>IF(V93="","",IF(E93&gt;=IF(N($C$5)&gt;0,$C$5,3),"Revient : appeler",IF(E93&gt;=2,"Déjà dans la liste","")))</f>
        <v/>
      </c>
      <c r="G93" s="14" t="n"/>
      <c r="H93" s="14" t="n"/>
      <c r="I93" s="14" t="n"/>
      <c r="V93" s="9">
        <f>IF(B93="","",IF(COUNTIF(B90:B93,B93)=1,B93,""))</f>
        <v/>
      </c>
    </row>
    <row r="94" ht="15" customHeight="1">
      <c r="A94" s="29" t="n"/>
      <c r="B94" s="14" t="n"/>
      <c r="C94" s="22" t="n"/>
      <c r="D94" s="24" t="n"/>
      <c r="E94" s="31">
        <f>IF(B94="","",COUNTIF($V$10:V94,B94))</f>
        <v/>
      </c>
      <c r="F94" s="41">
        <f>IF(V94="","",IF(E94&gt;=IF(N($C$5)&gt;0,$C$5,3),"Revient : appeler",IF(E94&gt;=2,"Déjà dans la liste","")))</f>
        <v/>
      </c>
      <c r="G94" s="14" t="n"/>
      <c r="H94" s="14" t="n"/>
      <c r="I94" s="14" t="n"/>
      <c r="V94" s="9">
        <f>IF(B94="","",IF(COUNTIF(B90:B94,B94)=1,B94,""))</f>
        <v/>
      </c>
    </row>
    <row r="95" ht="15" customHeight="1">
      <c r="A95" s="35">
        <f>IF($C$4="","",$C$4+119)</f>
        <v/>
      </c>
      <c r="B95" s="36" t="n"/>
      <c r="C95" s="37" t="n"/>
      <c r="D95" s="38" t="n"/>
      <c r="E95" s="39">
        <f>IF(B95="","",COUNTIF($V$10:V95,B95))</f>
        <v/>
      </c>
      <c r="F95" s="40">
        <f>IF(V95="","",IF(E95&gt;=IF(N($C$5)&gt;0,$C$5,3),"Revient : appeler",IF(E95&gt;=2,"Déjà dans la liste","")))</f>
        <v/>
      </c>
      <c r="G95" s="36" t="n"/>
      <c r="H95" s="36" t="n"/>
      <c r="I95" s="36" t="n"/>
      <c r="V95" s="9">
        <f>IF(B95="","",IF(COUNTIF(B95:B95,B95)=1,B95,""))</f>
        <v/>
      </c>
    </row>
    <row r="96" ht="15" customHeight="1">
      <c r="A96" s="29" t="n"/>
      <c r="B96" s="14" t="n"/>
      <c r="C96" s="22" t="n"/>
      <c r="D96" s="24" t="n"/>
      <c r="E96" s="31">
        <f>IF(B96="","",COUNTIF($V$10:V96,B96))</f>
        <v/>
      </c>
      <c r="F96" s="41">
        <f>IF(V96="","",IF(E96&gt;=IF(N($C$5)&gt;0,$C$5,3),"Revient : appeler",IF(E96&gt;=2,"Déjà dans la liste","")))</f>
        <v/>
      </c>
      <c r="G96" s="14" t="n"/>
      <c r="H96" s="14" t="n"/>
      <c r="I96" s="14" t="n"/>
      <c r="V96" s="9">
        <f>IF(B96="","",IF(COUNTIF(B95:B96,B96)=1,B96,""))</f>
        <v/>
      </c>
    </row>
    <row r="97" ht="15" customHeight="1">
      <c r="A97" s="29" t="n"/>
      <c r="B97" s="14" t="n"/>
      <c r="C97" s="22" t="n"/>
      <c r="D97" s="24" t="n"/>
      <c r="E97" s="31">
        <f>IF(B97="","",COUNTIF($V$10:V97,B97))</f>
        <v/>
      </c>
      <c r="F97" s="41">
        <f>IF(V97="","",IF(E97&gt;=IF(N($C$5)&gt;0,$C$5,3),"Revient : appeler",IF(E97&gt;=2,"Déjà dans la liste","")))</f>
        <v/>
      </c>
      <c r="G97" s="14" t="n"/>
      <c r="H97" s="14" t="n"/>
      <c r="I97" s="14" t="n"/>
      <c r="V97" s="9">
        <f>IF(B97="","",IF(COUNTIF(B95:B97,B97)=1,B97,""))</f>
        <v/>
      </c>
    </row>
    <row r="98" ht="15" customHeight="1">
      <c r="A98" s="29" t="n"/>
      <c r="B98" s="14" t="n"/>
      <c r="C98" s="22" t="n"/>
      <c r="D98" s="24" t="n"/>
      <c r="E98" s="31">
        <f>IF(B98="","",COUNTIF($V$10:V98,B98))</f>
        <v/>
      </c>
      <c r="F98" s="41">
        <f>IF(V98="","",IF(E98&gt;=IF(N($C$5)&gt;0,$C$5,3),"Revient : appeler",IF(E98&gt;=2,"Déjà dans la liste","")))</f>
        <v/>
      </c>
      <c r="G98" s="14" t="n"/>
      <c r="H98" s="14" t="n"/>
      <c r="I98" s="14" t="n"/>
      <c r="V98" s="9">
        <f>IF(B98="","",IF(COUNTIF(B95:B98,B98)=1,B98,""))</f>
        <v/>
      </c>
    </row>
    <row r="99" ht="15" customHeight="1">
      <c r="A99" s="29" t="n"/>
      <c r="B99" s="14" t="n"/>
      <c r="C99" s="22" t="n"/>
      <c r="D99" s="24" t="n"/>
      <c r="E99" s="31">
        <f>IF(B99="","",COUNTIF($V$10:V99,B99))</f>
        <v/>
      </c>
      <c r="F99" s="41">
        <f>IF(V99="","",IF(E99&gt;=IF(N($C$5)&gt;0,$C$5,3),"Revient : appeler",IF(E99&gt;=2,"Déjà dans la liste","")))</f>
        <v/>
      </c>
      <c r="G99" s="14" t="n"/>
      <c r="H99" s="14" t="n"/>
      <c r="I99" s="14" t="n"/>
      <c r="V99" s="9">
        <f>IF(B99="","",IF(COUNTIF(B95:B99,B99)=1,B99,""))</f>
        <v/>
      </c>
    </row>
    <row r="100" ht="15" customHeight="1">
      <c r="A100" s="35">
        <f>IF($C$4="","",$C$4+126)</f>
        <v/>
      </c>
      <c r="B100" s="36" t="n"/>
      <c r="C100" s="37" t="n"/>
      <c r="D100" s="38" t="n"/>
      <c r="E100" s="39">
        <f>IF(B100="","",COUNTIF($V$10:V100,B100))</f>
        <v/>
      </c>
      <c r="F100" s="40">
        <f>IF(V100="","",IF(E100&gt;=IF(N($C$5)&gt;0,$C$5,3),"Revient : appeler",IF(E100&gt;=2,"Déjà dans la liste","")))</f>
        <v/>
      </c>
      <c r="G100" s="36" t="n"/>
      <c r="H100" s="36" t="n"/>
      <c r="I100" s="36" t="n"/>
      <c r="V100" s="9">
        <f>IF(B100="","",IF(COUNTIF(B100:B100,B100)=1,B100,""))</f>
        <v/>
      </c>
    </row>
    <row r="101" ht="15" customHeight="1">
      <c r="A101" s="29" t="n"/>
      <c r="B101" s="14" t="n"/>
      <c r="C101" s="22" t="n"/>
      <c r="D101" s="24" t="n"/>
      <c r="E101" s="31">
        <f>IF(B101="","",COUNTIF($V$10:V101,B101))</f>
        <v/>
      </c>
      <c r="F101" s="41">
        <f>IF(V101="","",IF(E101&gt;=IF(N($C$5)&gt;0,$C$5,3),"Revient : appeler",IF(E101&gt;=2,"Déjà dans la liste","")))</f>
        <v/>
      </c>
      <c r="G101" s="14" t="n"/>
      <c r="H101" s="14" t="n"/>
      <c r="I101" s="14" t="n"/>
      <c r="V101" s="9">
        <f>IF(B101="","",IF(COUNTIF(B100:B101,B101)=1,B101,""))</f>
        <v/>
      </c>
    </row>
    <row r="102" ht="15" customHeight="1">
      <c r="A102" s="29" t="n"/>
      <c r="B102" s="14" t="n"/>
      <c r="C102" s="22" t="n"/>
      <c r="D102" s="24" t="n"/>
      <c r="E102" s="31">
        <f>IF(B102="","",COUNTIF($V$10:V102,B102))</f>
        <v/>
      </c>
      <c r="F102" s="41">
        <f>IF(V102="","",IF(E102&gt;=IF(N($C$5)&gt;0,$C$5,3),"Revient : appeler",IF(E102&gt;=2,"Déjà dans la liste","")))</f>
        <v/>
      </c>
      <c r="G102" s="14" t="n"/>
      <c r="H102" s="14" t="n"/>
      <c r="I102" s="14" t="n"/>
      <c r="V102" s="9">
        <f>IF(B102="","",IF(COUNTIF(B100:B102,B102)=1,B102,""))</f>
        <v/>
      </c>
    </row>
    <row r="103" ht="15" customHeight="1">
      <c r="A103" s="29" t="n"/>
      <c r="B103" s="14" t="n"/>
      <c r="C103" s="22" t="n"/>
      <c r="D103" s="24" t="n"/>
      <c r="E103" s="31">
        <f>IF(B103="","",COUNTIF($V$10:V103,B103))</f>
        <v/>
      </c>
      <c r="F103" s="41">
        <f>IF(V103="","",IF(E103&gt;=IF(N($C$5)&gt;0,$C$5,3),"Revient : appeler",IF(E103&gt;=2,"Déjà dans la liste","")))</f>
        <v/>
      </c>
      <c r="G103" s="14" t="n"/>
      <c r="H103" s="14" t="n"/>
      <c r="I103" s="14" t="n"/>
      <c r="V103" s="9">
        <f>IF(B103="","",IF(COUNTIF(B100:B103,B103)=1,B103,""))</f>
        <v/>
      </c>
    </row>
    <row r="104" ht="15" customHeight="1">
      <c r="A104" s="29" t="n"/>
      <c r="B104" s="14" t="n"/>
      <c r="C104" s="22" t="n"/>
      <c r="D104" s="24" t="n"/>
      <c r="E104" s="31">
        <f>IF(B104="","",COUNTIF($V$10:V104,B104))</f>
        <v/>
      </c>
      <c r="F104" s="41">
        <f>IF(V104="","",IF(E104&gt;=IF(N($C$5)&gt;0,$C$5,3),"Revient : appeler",IF(E104&gt;=2,"Déjà dans la liste","")))</f>
        <v/>
      </c>
      <c r="G104" s="14" t="n"/>
      <c r="H104" s="14" t="n"/>
      <c r="I104" s="14" t="n"/>
      <c r="V104" s="9">
        <f>IF(B104="","",IF(COUNTIF(B100:B104,B104)=1,B104,""))</f>
        <v/>
      </c>
    </row>
    <row r="105" ht="15" customHeight="1">
      <c r="A105" s="35">
        <f>IF($C$4="","",$C$4+133)</f>
        <v/>
      </c>
      <c r="B105" s="36" t="n"/>
      <c r="C105" s="37" t="n"/>
      <c r="D105" s="38" t="n"/>
      <c r="E105" s="39">
        <f>IF(B105="","",COUNTIF($V$10:V105,B105))</f>
        <v/>
      </c>
      <c r="F105" s="40">
        <f>IF(V105="","",IF(E105&gt;=IF(N($C$5)&gt;0,$C$5,3),"Revient : appeler",IF(E105&gt;=2,"Déjà dans la liste","")))</f>
        <v/>
      </c>
      <c r="G105" s="36" t="n"/>
      <c r="H105" s="36" t="n"/>
      <c r="I105" s="36" t="n"/>
      <c r="V105" s="9">
        <f>IF(B105="","",IF(COUNTIF(B105:B105,B105)=1,B105,""))</f>
        <v/>
      </c>
    </row>
    <row r="106" ht="15" customHeight="1">
      <c r="A106" s="29" t="n"/>
      <c r="B106" s="14" t="n"/>
      <c r="C106" s="22" t="n"/>
      <c r="D106" s="24" t="n"/>
      <c r="E106" s="31">
        <f>IF(B106="","",COUNTIF($V$10:V106,B106))</f>
        <v/>
      </c>
      <c r="F106" s="41">
        <f>IF(V106="","",IF(E106&gt;=IF(N($C$5)&gt;0,$C$5,3),"Revient : appeler",IF(E106&gt;=2,"Déjà dans la liste","")))</f>
        <v/>
      </c>
      <c r="G106" s="14" t="n"/>
      <c r="H106" s="14" t="n"/>
      <c r="I106" s="14" t="n"/>
      <c r="V106" s="9">
        <f>IF(B106="","",IF(COUNTIF(B105:B106,B106)=1,B106,""))</f>
        <v/>
      </c>
    </row>
    <row r="107" ht="15" customHeight="1">
      <c r="A107" s="29" t="n"/>
      <c r="B107" s="14" t="n"/>
      <c r="C107" s="22" t="n"/>
      <c r="D107" s="24" t="n"/>
      <c r="E107" s="31">
        <f>IF(B107="","",COUNTIF($V$10:V107,B107))</f>
        <v/>
      </c>
      <c r="F107" s="41">
        <f>IF(V107="","",IF(E107&gt;=IF(N($C$5)&gt;0,$C$5,3),"Revient : appeler",IF(E107&gt;=2,"Déjà dans la liste","")))</f>
        <v/>
      </c>
      <c r="G107" s="14" t="n"/>
      <c r="H107" s="14" t="n"/>
      <c r="I107" s="14" t="n"/>
      <c r="V107" s="9">
        <f>IF(B107="","",IF(COUNTIF(B105:B107,B107)=1,B107,""))</f>
        <v/>
      </c>
    </row>
    <row r="108" ht="15" customHeight="1">
      <c r="A108" s="29" t="n"/>
      <c r="B108" s="14" t="n"/>
      <c r="C108" s="22" t="n"/>
      <c r="D108" s="24" t="n"/>
      <c r="E108" s="31">
        <f>IF(B108="","",COUNTIF($V$10:V108,B108))</f>
        <v/>
      </c>
      <c r="F108" s="41">
        <f>IF(V108="","",IF(E108&gt;=IF(N($C$5)&gt;0,$C$5,3),"Revient : appeler",IF(E108&gt;=2,"Déjà dans la liste","")))</f>
        <v/>
      </c>
      <c r="G108" s="14" t="n"/>
      <c r="H108" s="14" t="n"/>
      <c r="I108" s="14" t="n"/>
      <c r="V108" s="9">
        <f>IF(B108="","",IF(COUNTIF(B105:B108,B108)=1,B108,""))</f>
        <v/>
      </c>
    </row>
    <row r="109" ht="15" customHeight="1">
      <c r="A109" s="29" t="n"/>
      <c r="B109" s="14" t="n"/>
      <c r="C109" s="22" t="n"/>
      <c r="D109" s="24" t="n"/>
      <c r="E109" s="31">
        <f>IF(B109="","",COUNTIF($V$10:V109,B109))</f>
        <v/>
      </c>
      <c r="F109" s="41">
        <f>IF(V109="","",IF(E109&gt;=IF(N($C$5)&gt;0,$C$5,3),"Revient : appeler",IF(E109&gt;=2,"Déjà dans la liste","")))</f>
        <v/>
      </c>
      <c r="G109" s="14" t="n"/>
      <c r="H109" s="14" t="n"/>
      <c r="I109" s="14" t="n"/>
      <c r="V109" s="9">
        <f>IF(B109="","",IF(COUNTIF(B105:B109,B109)=1,B109,""))</f>
        <v/>
      </c>
    </row>
    <row r="110" ht="15" customHeight="1">
      <c r="A110" s="35">
        <f>IF($C$4="","",$C$4+140)</f>
        <v/>
      </c>
      <c r="B110" s="36" t="n"/>
      <c r="C110" s="37" t="n"/>
      <c r="D110" s="38" t="n"/>
      <c r="E110" s="39">
        <f>IF(B110="","",COUNTIF($V$10:V110,B110))</f>
        <v/>
      </c>
      <c r="F110" s="40">
        <f>IF(V110="","",IF(E110&gt;=IF(N($C$5)&gt;0,$C$5,3),"Revient : appeler",IF(E110&gt;=2,"Déjà dans la liste","")))</f>
        <v/>
      </c>
      <c r="G110" s="36" t="n"/>
      <c r="H110" s="36" t="n"/>
      <c r="I110" s="36" t="n"/>
      <c r="V110" s="9">
        <f>IF(B110="","",IF(COUNTIF(B110:B110,B110)=1,B110,""))</f>
        <v/>
      </c>
    </row>
    <row r="111" ht="15" customHeight="1">
      <c r="A111" s="29" t="n"/>
      <c r="B111" s="14" t="n"/>
      <c r="C111" s="22" t="n"/>
      <c r="D111" s="24" t="n"/>
      <c r="E111" s="31">
        <f>IF(B111="","",COUNTIF($V$10:V111,B111))</f>
        <v/>
      </c>
      <c r="F111" s="41">
        <f>IF(V111="","",IF(E111&gt;=IF(N($C$5)&gt;0,$C$5,3),"Revient : appeler",IF(E111&gt;=2,"Déjà dans la liste","")))</f>
        <v/>
      </c>
      <c r="G111" s="14" t="n"/>
      <c r="H111" s="14" t="n"/>
      <c r="I111" s="14" t="n"/>
      <c r="V111" s="9">
        <f>IF(B111="","",IF(COUNTIF(B110:B111,B111)=1,B111,""))</f>
        <v/>
      </c>
    </row>
    <row r="112" ht="15" customHeight="1">
      <c r="A112" s="29" t="n"/>
      <c r="B112" s="14" t="n"/>
      <c r="C112" s="22" t="n"/>
      <c r="D112" s="24" t="n"/>
      <c r="E112" s="31">
        <f>IF(B112="","",COUNTIF($V$10:V112,B112))</f>
        <v/>
      </c>
      <c r="F112" s="41">
        <f>IF(V112="","",IF(E112&gt;=IF(N($C$5)&gt;0,$C$5,3),"Revient : appeler",IF(E112&gt;=2,"Déjà dans la liste","")))</f>
        <v/>
      </c>
      <c r="G112" s="14" t="n"/>
      <c r="H112" s="14" t="n"/>
      <c r="I112" s="14" t="n"/>
      <c r="V112" s="9">
        <f>IF(B112="","",IF(COUNTIF(B110:B112,B112)=1,B112,""))</f>
        <v/>
      </c>
    </row>
    <row r="113" ht="15" customHeight="1">
      <c r="A113" s="29" t="n"/>
      <c r="B113" s="14" t="n"/>
      <c r="C113" s="22" t="n"/>
      <c r="D113" s="24" t="n"/>
      <c r="E113" s="31">
        <f>IF(B113="","",COUNTIF($V$10:V113,B113))</f>
        <v/>
      </c>
      <c r="F113" s="41">
        <f>IF(V113="","",IF(E113&gt;=IF(N($C$5)&gt;0,$C$5,3),"Revient : appeler",IF(E113&gt;=2,"Déjà dans la liste","")))</f>
        <v/>
      </c>
      <c r="G113" s="14" t="n"/>
      <c r="H113" s="14" t="n"/>
      <c r="I113" s="14" t="n"/>
      <c r="V113" s="9">
        <f>IF(B113="","",IF(COUNTIF(B110:B113,B113)=1,B113,""))</f>
        <v/>
      </c>
    </row>
    <row r="114" ht="15" customHeight="1">
      <c r="A114" s="29" t="n"/>
      <c r="B114" s="14" t="n"/>
      <c r="C114" s="22" t="n"/>
      <c r="D114" s="24" t="n"/>
      <c r="E114" s="31">
        <f>IF(B114="","",COUNTIF($V$10:V114,B114))</f>
        <v/>
      </c>
      <c r="F114" s="41">
        <f>IF(V114="","",IF(E114&gt;=IF(N($C$5)&gt;0,$C$5,3),"Revient : appeler",IF(E114&gt;=2,"Déjà dans la liste","")))</f>
        <v/>
      </c>
      <c r="G114" s="14" t="n"/>
      <c r="H114" s="14" t="n"/>
      <c r="I114" s="14" t="n"/>
      <c r="V114" s="9">
        <f>IF(B114="","",IF(COUNTIF(B110:B114,B114)=1,B114,""))</f>
        <v/>
      </c>
    </row>
    <row r="115" ht="15" customHeight="1">
      <c r="A115" s="35">
        <f>IF($C$4="","",$C$4+147)</f>
        <v/>
      </c>
      <c r="B115" s="36" t="n"/>
      <c r="C115" s="37" t="n"/>
      <c r="D115" s="38" t="n"/>
      <c r="E115" s="39">
        <f>IF(B115="","",COUNTIF($V$10:V115,B115))</f>
        <v/>
      </c>
      <c r="F115" s="40">
        <f>IF(V115="","",IF(E115&gt;=IF(N($C$5)&gt;0,$C$5,3),"Revient : appeler",IF(E115&gt;=2,"Déjà dans la liste","")))</f>
        <v/>
      </c>
      <c r="G115" s="36" t="n"/>
      <c r="H115" s="36" t="n"/>
      <c r="I115" s="36" t="n"/>
      <c r="V115" s="9">
        <f>IF(B115="","",IF(COUNTIF(B115:B115,B115)=1,B115,""))</f>
        <v/>
      </c>
    </row>
    <row r="116" ht="15" customHeight="1">
      <c r="A116" s="29" t="n"/>
      <c r="B116" s="14" t="n"/>
      <c r="C116" s="22" t="n"/>
      <c r="D116" s="24" t="n"/>
      <c r="E116" s="31">
        <f>IF(B116="","",COUNTIF($V$10:V116,B116))</f>
        <v/>
      </c>
      <c r="F116" s="41">
        <f>IF(V116="","",IF(E116&gt;=IF(N($C$5)&gt;0,$C$5,3),"Revient : appeler",IF(E116&gt;=2,"Déjà dans la liste","")))</f>
        <v/>
      </c>
      <c r="G116" s="14" t="n"/>
      <c r="H116" s="14" t="n"/>
      <c r="I116" s="14" t="n"/>
      <c r="V116" s="9">
        <f>IF(B116="","",IF(COUNTIF(B115:B116,B116)=1,B116,""))</f>
        <v/>
      </c>
    </row>
    <row r="117" ht="15" customHeight="1">
      <c r="A117" s="29" t="n"/>
      <c r="B117" s="14" t="n"/>
      <c r="C117" s="22" t="n"/>
      <c r="D117" s="24" t="n"/>
      <c r="E117" s="31">
        <f>IF(B117="","",COUNTIF($V$10:V117,B117))</f>
        <v/>
      </c>
      <c r="F117" s="41">
        <f>IF(V117="","",IF(E117&gt;=IF(N($C$5)&gt;0,$C$5,3),"Revient : appeler",IF(E117&gt;=2,"Déjà dans la liste","")))</f>
        <v/>
      </c>
      <c r="G117" s="14" t="n"/>
      <c r="H117" s="14" t="n"/>
      <c r="I117" s="14" t="n"/>
      <c r="V117" s="9">
        <f>IF(B117="","",IF(COUNTIF(B115:B117,B117)=1,B117,""))</f>
        <v/>
      </c>
    </row>
    <row r="118" ht="15" customHeight="1">
      <c r="A118" s="29" t="n"/>
      <c r="B118" s="14" t="n"/>
      <c r="C118" s="22" t="n"/>
      <c r="D118" s="24" t="n"/>
      <c r="E118" s="31">
        <f>IF(B118="","",COUNTIF($V$10:V118,B118))</f>
        <v/>
      </c>
      <c r="F118" s="41">
        <f>IF(V118="","",IF(E118&gt;=IF(N($C$5)&gt;0,$C$5,3),"Revient : appeler",IF(E118&gt;=2,"Déjà dans la liste","")))</f>
        <v/>
      </c>
      <c r="G118" s="14" t="n"/>
      <c r="H118" s="14" t="n"/>
      <c r="I118" s="14" t="n"/>
      <c r="V118" s="9">
        <f>IF(B118="","",IF(COUNTIF(B115:B118,B118)=1,B118,""))</f>
        <v/>
      </c>
    </row>
    <row r="119" ht="15" customHeight="1">
      <c r="A119" s="29" t="n"/>
      <c r="B119" s="14" t="n"/>
      <c r="C119" s="22" t="n"/>
      <c r="D119" s="24" t="n"/>
      <c r="E119" s="31">
        <f>IF(B119="","",COUNTIF($V$10:V119,B119))</f>
        <v/>
      </c>
      <c r="F119" s="41">
        <f>IF(V119="","",IF(E119&gt;=IF(N($C$5)&gt;0,$C$5,3),"Revient : appeler",IF(E119&gt;=2,"Déjà dans la liste","")))</f>
        <v/>
      </c>
      <c r="G119" s="14" t="n"/>
      <c r="H119" s="14" t="n"/>
      <c r="I119" s="14" t="n"/>
      <c r="V119" s="9">
        <f>IF(B119="","",IF(COUNTIF(B115:B119,B119)=1,B119,""))</f>
        <v/>
      </c>
    </row>
    <row r="120" ht="15" customHeight="1">
      <c r="A120" s="35">
        <f>IF($C$4="","",$C$4+154)</f>
        <v/>
      </c>
      <c r="B120" s="36" t="n"/>
      <c r="C120" s="37" t="n"/>
      <c r="D120" s="38" t="n"/>
      <c r="E120" s="39">
        <f>IF(B120="","",COUNTIF($V$10:V120,B120))</f>
        <v/>
      </c>
      <c r="F120" s="40">
        <f>IF(V120="","",IF(E120&gt;=IF(N($C$5)&gt;0,$C$5,3),"Revient : appeler",IF(E120&gt;=2,"Déjà dans la liste","")))</f>
        <v/>
      </c>
      <c r="G120" s="36" t="n"/>
      <c r="H120" s="36" t="n"/>
      <c r="I120" s="36" t="n"/>
      <c r="V120" s="9">
        <f>IF(B120="","",IF(COUNTIF(B120:B120,B120)=1,B120,""))</f>
        <v/>
      </c>
    </row>
    <row r="121" ht="15" customHeight="1">
      <c r="A121" s="29" t="n"/>
      <c r="B121" s="14" t="n"/>
      <c r="C121" s="22" t="n"/>
      <c r="D121" s="24" t="n"/>
      <c r="E121" s="31">
        <f>IF(B121="","",COUNTIF($V$10:V121,B121))</f>
        <v/>
      </c>
      <c r="F121" s="41">
        <f>IF(V121="","",IF(E121&gt;=IF(N($C$5)&gt;0,$C$5,3),"Revient : appeler",IF(E121&gt;=2,"Déjà dans la liste","")))</f>
        <v/>
      </c>
      <c r="G121" s="14" t="n"/>
      <c r="H121" s="14" t="n"/>
      <c r="I121" s="14" t="n"/>
      <c r="V121" s="9">
        <f>IF(B121="","",IF(COUNTIF(B120:B121,B121)=1,B121,""))</f>
        <v/>
      </c>
    </row>
    <row r="122" ht="15" customHeight="1">
      <c r="A122" s="29" t="n"/>
      <c r="B122" s="14" t="n"/>
      <c r="C122" s="22" t="n"/>
      <c r="D122" s="24" t="n"/>
      <c r="E122" s="31">
        <f>IF(B122="","",COUNTIF($V$10:V122,B122))</f>
        <v/>
      </c>
      <c r="F122" s="41">
        <f>IF(V122="","",IF(E122&gt;=IF(N($C$5)&gt;0,$C$5,3),"Revient : appeler",IF(E122&gt;=2,"Déjà dans la liste","")))</f>
        <v/>
      </c>
      <c r="G122" s="14" t="n"/>
      <c r="H122" s="14" t="n"/>
      <c r="I122" s="14" t="n"/>
      <c r="V122" s="9">
        <f>IF(B122="","",IF(COUNTIF(B120:B122,B122)=1,B122,""))</f>
        <v/>
      </c>
    </row>
    <row r="123" ht="15" customHeight="1">
      <c r="A123" s="29" t="n"/>
      <c r="B123" s="14" t="n"/>
      <c r="C123" s="22" t="n"/>
      <c r="D123" s="24" t="n"/>
      <c r="E123" s="31">
        <f>IF(B123="","",COUNTIF($V$10:V123,B123))</f>
        <v/>
      </c>
      <c r="F123" s="41">
        <f>IF(V123="","",IF(E123&gt;=IF(N($C$5)&gt;0,$C$5,3),"Revient : appeler",IF(E123&gt;=2,"Déjà dans la liste","")))</f>
        <v/>
      </c>
      <c r="G123" s="14" t="n"/>
      <c r="H123" s="14" t="n"/>
      <c r="I123" s="14" t="n"/>
      <c r="V123" s="9">
        <f>IF(B123="","",IF(COUNTIF(B120:B123,B123)=1,B123,""))</f>
        <v/>
      </c>
    </row>
    <row r="124" ht="15" customHeight="1">
      <c r="A124" s="29" t="n"/>
      <c r="B124" s="14" t="n"/>
      <c r="C124" s="22" t="n"/>
      <c r="D124" s="24" t="n"/>
      <c r="E124" s="31">
        <f>IF(B124="","",COUNTIF($V$10:V124,B124))</f>
        <v/>
      </c>
      <c r="F124" s="41">
        <f>IF(V124="","",IF(E124&gt;=IF(N($C$5)&gt;0,$C$5,3),"Revient : appeler",IF(E124&gt;=2,"Déjà dans la liste","")))</f>
        <v/>
      </c>
      <c r="G124" s="14" t="n"/>
      <c r="H124" s="14" t="n"/>
      <c r="I124" s="14" t="n"/>
      <c r="V124" s="9">
        <f>IF(B124="","",IF(COUNTIF(B120:B124,B124)=1,B124,""))</f>
        <v/>
      </c>
    </row>
    <row r="125" ht="15" customHeight="1">
      <c r="A125" s="35">
        <f>IF($C$4="","",$C$4+161)</f>
        <v/>
      </c>
      <c r="B125" s="36" t="n"/>
      <c r="C125" s="37" t="n"/>
      <c r="D125" s="38" t="n"/>
      <c r="E125" s="39">
        <f>IF(B125="","",COUNTIF($V$10:V125,B125))</f>
        <v/>
      </c>
      <c r="F125" s="40">
        <f>IF(V125="","",IF(E125&gt;=IF(N($C$5)&gt;0,$C$5,3),"Revient : appeler",IF(E125&gt;=2,"Déjà dans la liste","")))</f>
        <v/>
      </c>
      <c r="G125" s="36" t="n"/>
      <c r="H125" s="36" t="n"/>
      <c r="I125" s="36" t="n"/>
      <c r="V125" s="9">
        <f>IF(B125="","",IF(COUNTIF(B125:B125,B125)=1,B125,""))</f>
        <v/>
      </c>
    </row>
    <row r="126" ht="15" customHeight="1">
      <c r="A126" s="29" t="n"/>
      <c r="B126" s="14" t="n"/>
      <c r="C126" s="22" t="n"/>
      <c r="D126" s="24" t="n"/>
      <c r="E126" s="31">
        <f>IF(B126="","",COUNTIF($V$10:V126,B126))</f>
        <v/>
      </c>
      <c r="F126" s="41">
        <f>IF(V126="","",IF(E126&gt;=IF(N($C$5)&gt;0,$C$5,3),"Revient : appeler",IF(E126&gt;=2,"Déjà dans la liste","")))</f>
        <v/>
      </c>
      <c r="G126" s="14" t="n"/>
      <c r="H126" s="14" t="n"/>
      <c r="I126" s="14" t="n"/>
      <c r="V126" s="9">
        <f>IF(B126="","",IF(COUNTIF(B125:B126,B126)=1,B126,""))</f>
        <v/>
      </c>
    </row>
    <row r="127" ht="15" customHeight="1">
      <c r="A127" s="29" t="n"/>
      <c r="B127" s="14" t="n"/>
      <c r="C127" s="22" t="n"/>
      <c r="D127" s="24" t="n"/>
      <c r="E127" s="31">
        <f>IF(B127="","",COUNTIF($V$10:V127,B127))</f>
        <v/>
      </c>
      <c r="F127" s="41">
        <f>IF(V127="","",IF(E127&gt;=IF(N($C$5)&gt;0,$C$5,3),"Revient : appeler",IF(E127&gt;=2,"Déjà dans la liste","")))</f>
        <v/>
      </c>
      <c r="G127" s="14" t="n"/>
      <c r="H127" s="14" t="n"/>
      <c r="I127" s="14" t="n"/>
      <c r="V127" s="9">
        <f>IF(B127="","",IF(COUNTIF(B125:B127,B127)=1,B127,""))</f>
        <v/>
      </c>
    </row>
    <row r="128" ht="15" customHeight="1">
      <c r="A128" s="29" t="n"/>
      <c r="B128" s="14" t="n"/>
      <c r="C128" s="22" t="n"/>
      <c r="D128" s="24" t="n"/>
      <c r="E128" s="31">
        <f>IF(B128="","",COUNTIF($V$10:V128,B128))</f>
        <v/>
      </c>
      <c r="F128" s="41">
        <f>IF(V128="","",IF(E128&gt;=IF(N($C$5)&gt;0,$C$5,3),"Revient : appeler",IF(E128&gt;=2,"Déjà dans la liste","")))</f>
        <v/>
      </c>
      <c r="G128" s="14" t="n"/>
      <c r="H128" s="14" t="n"/>
      <c r="I128" s="14" t="n"/>
      <c r="V128" s="9">
        <f>IF(B128="","",IF(COUNTIF(B125:B128,B128)=1,B128,""))</f>
        <v/>
      </c>
    </row>
    <row r="129" ht="15" customHeight="1">
      <c r="A129" s="29" t="n"/>
      <c r="B129" s="14" t="n"/>
      <c r="C129" s="22" t="n"/>
      <c r="D129" s="24" t="n"/>
      <c r="E129" s="31">
        <f>IF(B129="","",COUNTIF($V$10:V129,B129))</f>
        <v/>
      </c>
      <c r="F129" s="41">
        <f>IF(V129="","",IF(E129&gt;=IF(N($C$5)&gt;0,$C$5,3),"Revient : appeler",IF(E129&gt;=2,"Déjà dans la liste","")))</f>
        <v/>
      </c>
      <c r="G129" s="14" t="n"/>
      <c r="H129" s="14" t="n"/>
      <c r="I129" s="14" t="n"/>
      <c r="V129" s="9">
        <f>IF(B129="","",IF(COUNTIF(B125:B129,B129)=1,B129,""))</f>
        <v/>
      </c>
    </row>
    <row r="130" ht="15" customHeight="1">
      <c r="A130" s="35">
        <f>IF($C$4="","",$C$4+168)</f>
        <v/>
      </c>
      <c r="B130" s="36" t="n"/>
      <c r="C130" s="37" t="n"/>
      <c r="D130" s="38" t="n"/>
      <c r="E130" s="39">
        <f>IF(B130="","",COUNTIF($V$10:V130,B130))</f>
        <v/>
      </c>
      <c r="F130" s="40">
        <f>IF(V130="","",IF(E130&gt;=IF(N($C$5)&gt;0,$C$5,3),"Revient : appeler",IF(E130&gt;=2,"Déjà dans la liste","")))</f>
        <v/>
      </c>
      <c r="G130" s="36" t="n"/>
      <c r="H130" s="36" t="n"/>
      <c r="I130" s="36" t="n"/>
      <c r="V130" s="9">
        <f>IF(B130="","",IF(COUNTIF(B130:B130,B130)=1,B130,""))</f>
        <v/>
      </c>
    </row>
    <row r="131" ht="15" customHeight="1">
      <c r="A131" s="29" t="n"/>
      <c r="B131" s="14" t="n"/>
      <c r="C131" s="22" t="n"/>
      <c r="D131" s="24" t="n"/>
      <c r="E131" s="31">
        <f>IF(B131="","",COUNTIF($V$10:V131,B131))</f>
        <v/>
      </c>
      <c r="F131" s="41">
        <f>IF(V131="","",IF(E131&gt;=IF(N($C$5)&gt;0,$C$5,3),"Revient : appeler",IF(E131&gt;=2,"Déjà dans la liste","")))</f>
        <v/>
      </c>
      <c r="G131" s="14" t="n"/>
      <c r="H131" s="14" t="n"/>
      <c r="I131" s="14" t="n"/>
      <c r="V131" s="9">
        <f>IF(B131="","",IF(COUNTIF(B130:B131,B131)=1,B131,""))</f>
        <v/>
      </c>
    </row>
    <row r="132" ht="15" customHeight="1">
      <c r="A132" s="29" t="n"/>
      <c r="B132" s="14" t="n"/>
      <c r="C132" s="22" t="n"/>
      <c r="D132" s="24" t="n"/>
      <c r="E132" s="31">
        <f>IF(B132="","",COUNTIF($V$10:V132,B132))</f>
        <v/>
      </c>
      <c r="F132" s="41">
        <f>IF(V132="","",IF(E132&gt;=IF(N($C$5)&gt;0,$C$5,3),"Revient : appeler",IF(E132&gt;=2,"Déjà dans la liste","")))</f>
        <v/>
      </c>
      <c r="G132" s="14" t="n"/>
      <c r="H132" s="14" t="n"/>
      <c r="I132" s="14" t="n"/>
      <c r="V132" s="9">
        <f>IF(B132="","",IF(COUNTIF(B130:B132,B132)=1,B132,""))</f>
        <v/>
      </c>
    </row>
    <row r="133" ht="15" customHeight="1">
      <c r="A133" s="29" t="n"/>
      <c r="B133" s="14" t="n"/>
      <c r="C133" s="22" t="n"/>
      <c r="D133" s="24" t="n"/>
      <c r="E133" s="31">
        <f>IF(B133="","",COUNTIF($V$10:V133,B133))</f>
        <v/>
      </c>
      <c r="F133" s="41">
        <f>IF(V133="","",IF(E133&gt;=IF(N($C$5)&gt;0,$C$5,3),"Revient : appeler",IF(E133&gt;=2,"Déjà dans la liste","")))</f>
        <v/>
      </c>
      <c r="G133" s="14" t="n"/>
      <c r="H133" s="14" t="n"/>
      <c r="I133" s="14" t="n"/>
      <c r="V133" s="9">
        <f>IF(B133="","",IF(COUNTIF(B130:B133,B133)=1,B133,""))</f>
        <v/>
      </c>
    </row>
    <row r="134" ht="15" customHeight="1">
      <c r="A134" s="29" t="n"/>
      <c r="B134" s="14" t="n"/>
      <c r="C134" s="22" t="n"/>
      <c r="D134" s="24" t="n"/>
      <c r="E134" s="31">
        <f>IF(B134="","",COUNTIF($V$10:V134,B134))</f>
        <v/>
      </c>
      <c r="F134" s="41">
        <f>IF(V134="","",IF(E134&gt;=IF(N($C$5)&gt;0,$C$5,3),"Revient : appeler",IF(E134&gt;=2,"Déjà dans la liste","")))</f>
        <v/>
      </c>
      <c r="G134" s="14" t="n"/>
      <c r="H134" s="14" t="n"/>
      <c r="I134" s="14" t="n"/>
      <c r="V134" s="9">
        <f>IF(B134="","",IF(COUNTIF(B130:B134,B134)=1,B134,""))</f>
        <v/>
      </c>
    </row>
    <row r="135" ht="15" customHeight="1">
      <c r="A135" s="35">
        <f>IF($C$4="","",$C$4+175)</f>
        <v/>
      </c>
      <c r="B135" s="36" t="n"/>
      <c r="C135" s="37" t="n"/>
      <c r="D135" s="38" t="n"/>
      <c r="E135" s="39">
        <f>IF(B135="","",COUNTIF($V$10:V135,B135))</f>
        <v/>
      </c>
      <c r="F135" s="40">
        <f>IF(V135="","",IF(E135&gt;=IF(N($C$5)&gt;0,$C$5,3),"Revient : appeler",IF(E135&gt;=2,"Déjà dans la liste","")))</f>
        <v/>
      </c>
      <c r="G135" s="36" t="n"/>
      <c r="H135" s="36" t="n"/>
      <c r="I135" s="36" t="n"/>
      <c r="V135" s="9">
        <f>IF(B135="","",IF(COUNTIF(B135:B135,B135)=1,B135,""))</f>
        <v/>
      </c>
    </row>
    <row r="136" ht="15" customHeight="1">
      <c r="A136" s="29" t="n"/>
      <c r="B136" s="14" t="n"/>
      <c r="C136" s="22" t="n"/>
      <c r="D136" s="24" t="n"/>
      <c r="E136" s="31">
        <f>IF(B136="","",COUNTIF($V$10:V136,B136))</f>
        <v/>
      </c>
      <c r="F136" s="41">
        <f>IF(V136="","",IF(E136&gt;=IF(N($C$5)&gt;0,$C$5,3),"Revient : appeler",IF(E136&gt;=2,"Déjà dans la liste","")))</f>
        <v/>
      </c>
      <c r="G136" s="14" t="n"/>
      <c r="H136" s="14" t="n"/>
      <c r="I136" s="14" t="n"/>
      <c r="V136" s="9">
        <f>IF(B136="","",IF(COUNTIF(B135:B136,B136)=1,B136,""))</f>
        <v/>
      </c>
    </row>
    <row r="137" ht="15" customHeight="1">
      <c r="A137" s="29" t="n"/>
      <c r="B137" s="14" t="n"/>
      <c r="C137" s="22" t="n"/>
      <c r="D137" s="24" t="n"/>
      <c r="E137" s="31">
        <f>IF(B137="","",COUNTIF($V$10:V137,B137))</f>
        <v/>
      </c>
      <c r="F137" s="41">
        <f>IF(V137="","",IF(E137&gt;=IF(N($C$5)&gt;0,$C$5,3),"Revient : appeler",IF(E137&gt;=2,"Déjà dans la liste","")))</f>
        <v/>
      </c>
      <c r="G137" s="14" t="n"/>
      <c r="H137" s="14" t="n"/>
      <c r="I137" s="14" t="n"/>
      <c r="V137" s="9">
        <f>IF(B137="","",IF(COUNTIF(B135:B137,B137)=1,B137,""))</f>
        <v/>
      </c>
    </row>
    <row r="138" ht="15" customHeight="1">
      <c r="A138" s="29" t="n"/>
      <c r="B138" s="14" t="n"/>
      <c r="C138" s="22" t="n"/>
      <c r="D138" s="24" t="n"/>
      <c r="E138" s="31">
        <f>IF(B138="","",COUNTIF($V$10:V138,B138))</f>
        <v/>
      </c>
      <c r="F138" s="41">
        <f>IF(V138="","",IF(E138&gt;=IF(N($C$5)&gt;0,$C$5,3),"Revient : appeler",IF(E138&gt;=2,"Déjà dans la liste","")))</f>
        <v/>
      </c>
      <c r="G138" s="14" t="n"/>
      <c r="H138" s="14" t="n"/>
      <c r="I138" s="14" t="n"/>
      <c r="V138" s="9">
        <f>IF(B138="","",IF(COUNTIF(B135:B138,B138)=1,B138,""))</f>
        <v/>
      </c>
    </row>
    <row r="139" ht="15" customHeight="1">
      <c r="A139" s="29" t="n"/>
      <c r="B139" s="14" t="n"/>
      <c r="C139" s="22" t="n"/>
      <c r="D139" s="24" t="n"/>
      <c r="E139" s="31">
        <f>IF(B139="","",COUNTIF($V$10:V139,B139))</f>
        <v/>
      </c>
      <c r="F139" s="41">
        <f>IF(V139="","",IF(E139&gt;=IF(N($C$5)&gt;0,$C$5,3),"Revient : appeler",IF(E139&gt;=2,"Déjà dans la liste","")))</f>
        <v/>
      </c>
      <c r="G139" s="14" t="n"/>
      <c r="H139" s="14" t="n"/>
      <c r="I139" s="14" t="n"/>
      <c r="V139" s="9">
        <f>IF(B139="","",IF(COUNTIF(B135:B139,B139)=1,B139,""))</f>
        <v/>
      </c>
    </row>
    <row r="140" ht="15" customHeight="1">
      <c r="A140" s="35">
        <f>IF($C$4="","",$C$4+182)</f>
        <v/>
      </c>
      <c r="B140" s="36" t="n"/>
      <c r="C140" s="37" t="n"/>
      <c r="D140" s="38" t="n"/>
      <c r="E140" s="39">
        <f>IF(B140="","",COUNTIF($V$10:V140,B140))</f>
        <v/>
      </c>
      <c r="F140" s="40">
        <f>IF(V140="","",IF(E140&gt;=IF(N($C$5)&gt;0,$C$5,3),"Revient : appeler",IF(E140&gt;=2,"Déjà dans la liste","")))</f>
        <v/>
      </c>
      <c r="G140" s="36" t="n"/>
      <c r="H140" s="36" t="n"/>
      <c r="I140" s="36" t="n"/>
      <c r="V140" s="9">
        <f>IF(B140="","",IF(COUNTIF(B140:B140,B140)=1,B140,""))</f>
        <v/>
      </c>
    </row>
    <row r="141" ht="15" customHeight="1">
      <c r="A141" s="29" t="n"/>
      <c r="B141" s="14" t="n"/>
      <c r="C141" s="22" t="n"/>
      <c r="D141" s="24" t="n"/>
      <c r="E141" s="31">
        <f>IF(B141="","",COUNTIF($V$10:V141,B141))</f>
        <v/>
      </c>
      <c r="F141" s="41">
        <f>IF(V141="","",IF(E141&gt;=IF(N($C$5)&gt;0,$C$5,3),"Revient : appeler",IF(E141&gt;=2,"Déjà dans la liste","")))</f>
        <v/>
      </c>
      <c r="G141" s="14" t="n"/>
      <c r="H141" s="14" t="n"/>
      <c r="I141" s="14" t="n"/>
      <c r="V141" s="9">
        <f>IF(B141="","",IF(COUNTIF(B140:B141,B141)=1,B141,""))</f>
        <v/>
      </c>
    </row>
    <row r="142" ht="15" customHeight="1">
      <c r="A142" s="29" t="n"/>
      <c r="B142" s="14" t="n"/>
      <c r="C142" s="22" t="n"/>
      <c r="D142" s="24" t="n"/>
      <c r="E142" s="31">
        <f>IF(B142="","",COUNTIF($V$10:V142,B142))</f>
        <v/>
      </c>
      <c r="F142" s="41">
        <f>IF(V142="","",IF(E142&gt;=IF(N($C$5)&gt;0,$C$5,3),"Revient : appeler",IF(E142&gt;=2,"Déjà dans la liste","")))</f>
        <v/>
      </c>
      <c r="G142" s="14" t="n"/>
      <c r="H142" s="14" t="n"/>
      <c r="I142" s="14" t="n"/>
      <c r="V142" s="9">
        <f>IF(B142="","",IF(COUNTIF(B140:B142,B142)=1,B142,""))</f>
        <v/>
      </c>
    </row>
    <row r="143" ht="15" customHeight="1">
      <c r="A143" s="29" t="n"/>
      <c r="B143" s="14" t="n"/>
      <c r="C143" s="22" t="n"/>
      <c r="D143" s="24" t="n"/>
      <c r="E143" s="31">
        <f>IF(B143="","",COUNTIF($V$10:V143,B143))</f>
        <v/>
      </c>
      <c r="F143" s="41">
        <f>IF(V143="","",IF(E143&gt;=IF(N($C$5)&gt;0,$C$5,3),"Revient : appeler",IF(E143&gt;=2,"Déjà dans la liste","")))</f>
        <v/>
      </c>
      <c r="G143" s="14" t="n"/>
      <c r="H143" s="14" t="n"/>
      <c r="I143" s="14" t="n"/>
      <c r="V143" s="9">
        <f>IF(B143="","",IF(COUNTIF(B140:B143,B143)=1,B143,""))</f>
        <v/>
      </c>
    </row>
    <row r="144" ht="15" customHeight="1">
      <c r="A144" s="29" t="n"/>
      <c r="B144" s="14" t="n"/>
      <c r="C144" s="22" t="n"/>
      <c r="D144" s="24" t="n"/>
      <c r="E144" s="31">
        <f>IF(B144="","",COUNTIF($V$10:V144,B144))</f>
        <v/>
      </c>
      <c r="F144" s="41">
        <f>IF(V144="","",IF(E144&gt;=IF(N($C$5)&gt;0,$C$5,3),"Revient : appeler",IF(E144&gt;=2,"Déjà dans la liste","")))</f>
        <v/>
      </c>
      <c r="G144" s="14" t="n"/>
      <c r="H144" s="14" t="n"/>
      <c r="I144" s="14" t="n"/>
      <c r="V144" s="9">
        <f>IF(B144="","",IF(COUNTIF(B140:B144,B144)=1,B144,""))</f>
        <v/>
      </c>
    </row>
    <row r="145" ht="15" customHeight="1">
      <c r="A145" s="35">
        <f>IF($C$4="","",$C$4+189)</f>
        <v/>
      </c>
      <c r="B145" s="36" t="n"/>
      <c r="C145" s="37" t="n"/>
      <c r="D145" s="38" t="n"/>
      <c r="E145" s="39">
        <f>IF(B145="","",COUNTIF($V$10:V145,B145))</f>
        <v/>
      </c>
      <c r="F145" s="40">
        <f>IF(V145="","",IF(E145&gt;=IF(N($C$5)&gt;0,$C$5,3),"Revient : appeler",IF(E145&gt;=2,"Déjà dans la liste","")))</f>
        <v/>
      </c>
      <c r="G145" s="36" t="n"/>
      <c r="H145" s="36" t="n"/>
      <c r="I145" s="36" t="n"/>
      <c r="V145" s="9">
        <f>IF(B145="","",IF(COUNTIF(B145:B145,B145)=1,B145,""))</f>
        <v/>
      </c>
    </row>
    <row r="146" ht="15" customHeight="1">
      <c r="A146" s="29" t="n"/>
      <c r="B146" s="14" t="n"/>
      <c r="C146" s="22" t="n"/>
      <c r="D146" s="24" t="n"/>
      <c r="E146" s="31">
        <f>IF(B146="","",COUNTIF($V$10:V146,B146))</f>
        <v/>
      </c>
      <c r="F146" s="41">
        <f>IF(V146="","",IF(E146&gt;=IF(N($C$5)&gt;0,$C$5,3),"Revient : appeler",IF(E146&gt;=2,"Déjà dans la liste","")))</f>
        <v/>
      </c>
      <c r="G146" s="14" t="n"/>
      <c r="H146" s="14" t="n"/>
      <c r="I146" s="14" t="n"/>
      <c r="V146" s="9">
        <f>IF(B146="","",IF(COUNTIF(B145:B146,B146)=1,B146,""))</f>
        <v/>
      </c>
    </row>
    <row r="147" ht="15" customHeight="1">
      <c r="A147" s="29" t="n"/>
      <c r="B147" s="14" t="n"/>
      <c r="C147" s="22" t="n"/>
      <c r="D147" s="24" t="n"/>
      <c r="E147" s="31">
        <f>IF(B147="","",COUNTIF($V$10:V147,B147))</f>
        <v/>
      </c>
      <c r="F147" s="41">
        <f>IF(V147="","",IF(E147&gt;=IF(N($C$5)&gt;0,$C$5,3),"Revient : appeler",IF(E147&gt;=2,"Déjà dans la liste","")))</f>
        <v/>
      </c>
      <c r="G147" s="14" t="n"/>
      <c r="H147" s="14" t="n"/>
      <c r="I147" s="14" t="n"/>
      <c r="V147" s="9">
        <f>IF(B147="","",IF(COUNTIF(B145:B147,B147)=1,B147,""))</f>
        <v/>
      </c>
    </row>
    <row r="148" ht="15" customHeight="1">
      <c r="A148" s="29" t="n"/>
      <c r="B148" s="14" t="n"/>
      <c r="C148" s="22" t="n"/>
      <c r="D148" s="24" t="n"/>
      <c r="E148" s="31">
        <f>IF(B148="","",COUNTIF($V$10:V148,B148))</f>
        <v/>
      </c>
      <c r="F148" s="41">
        <f>IF(V148="","",IF(E148&gt;=IF(N($C$5)&gt;0,$C$5,3),"Revient : appeler",IF(E148&gt;=2,"Déjà dans la liste","")))</f>
        <v/>
      </c>
      <c r="G148" s="14" t="n"/>
      <c r="H148" s="14" t="n"/>
      <c r="I148" s="14" t="n"/>
      <c r="V148" s="9">
        <f>IF(B148="","",IF(COUNTIF(B145:B148,B148)=1,B148,""))</f>
        <v/>
      </c>
    </row>
    <row r="149" ht="15" customHeight="1">
      <c r="A149" s="29" t="n"/>
      <c r="B149" s="14" t="n"/>
      <c r="C149" s="22" t="n"/>
      <c r="D149" s="24" t="n"/>
      <c r="E149" s="31">
        <f>IF(B149="","",COUNTIF($V$10:V149,B149))</f>
        <v/>
      </c>
      <c r="F149" s="41">
        <f>IF(V149="","",IF(E149&gt;=IF(N($C$5)&gt;0,$C$5,3),"Revient : appeler",IF(E149&gt;=2,"Déjà dans la liste","")))</f>
        <v/>
      </c>
      <c r="G149" s="14" t="n"/>
      <c r="H149" s="14" t="n"/>
      <c r="I149" s="14" t="n"/>
      <c r="V149" s="9">
        <f>IF(B149="","",IF(COUNTIF(B145:B149,B149)=1,B149,""))</f>
        <v/>
      </c>
    </row>
    <row r="150" ht="15" customHeight="1">
      <c r="A150" s="35">
        <f>IF($C$4="","",$C$4+196)</f>
        <v/>
      </c>
      <c r="B150" s="36" t="n"/>
      <c r="C150" s="37" t="n"/>
      <c r="D150" s="38" t="n"/>
      <c r="E150" s="39">
        <f>IF(B150="","",COUNTIF($V$10:V150,B150))</f>
        <v/>
      </c>
      <c r="F150" s="40">
        <f>IF(V150="","",IF(E150&gt;=IF(N($C$5)&gt;0,$C$5,3),"Revient : appeler",IF(E150&gt;=2,"Déjà dans la liste","")))</f>
        <v/>
      </c>
      <c r="G150" s="36" t="n"/>
      <c r="H150" s="36" t="n"/>
      <c r="I150" s="36" t="n"/>
      <c r="V150" s="9">
        <f>IF(B150="","",IF(COUNTIF(B150:B150,B150)=1,B150,""))</f>
        <v/>
      </c>
    </row>
    <row r="151" ht="15" customHeight="1">
      <c r="A151" s="29" t="n"/>
      <c r="B151" s="14" t="n"/>
      <c r="C151" s="22" t="n"/>
      <c r="D151" s="24" t="n"/>
      <c r="E151" s="31">
        <f>IF(B151="","",COUNTIF($V$10:V151,B151))</f>
        <v/>
      </c>
      <c r="F151" s="41">
        <f>IF(V151="","",IF(E151&gt;=IF(N($C$5)&gt;0,$C$5,3),"Revient : appeler",IF(E151&gt;=2,"Déjà dans la liste","")))</f>
        <v/>
      </c>
      <c r="G151" s="14" t="n"/>
      <c r="H151" s="14" t="n"/>
      <c r="I151" s="14" t="n"/>
      <c r="V151" s="9">
        <f>IF(B151="","",IF(COUNTIF(B150:B151,B151)=1,B151,""))</f>
        <v/>
      </c>
    </row>
    <row r="152" ht="15" customHeight="1">
      <c r="A152" s="29" t="n"/>
      <c r="B152" s="14" t="n"/>
      <c r="C152" s="22" t="n"/>
      <c r="D152" s="24" t="n"/>
      <c r="E152" s="31">
        <f>IF(B152="","",COUNTIF($V$10:V152,B152))</f>
        <v/>
      </c>
      <c r="F152" s="41">
        <f>IF(V152="","",IF(E152&gt;=IF(N($C$5)&gt;0,$C$5,3),"Revient : appeler",IF(E152&gt;=2,"Déjà dans la liste","")))</f>
        <v/>
      </c>
      <c r="G152" s="14" t="n"/>
      <c r="H152" s="14" t="n"/>
      <c r="I152" s="14" t="n"/>
      <c r="V152" s="9">
        <f>IF(B152="","",IF(COUNTIF(B150:B152,B152)=1,B152,""))</f>
        <v/>
      </c>
    </row>
    <row r="153" ht="15" customHeight="1">
      <c r="A153" s="29" t="n"/>
      <c r="B153" s="14" t="n"/>
      <c r="C153" s="22" t="n"/>
      <c r="D153" s="24" t="n"/>
      <c r="E153" s="31">
        <f>IF(B153="","",COUNTIF($V$10:V153,B153))</f>
        <v/>
      </c>
      <c r="F153" s="41">
        <f>IF(V153="","",IF(E153&gt;=IF(N($C$5)&gt;0,$C$5,3),"Revient : appeler",IF(E153&gt;=2,"Déjà dans la liste","")))</f>
        <v/>
      </c>
      <c r="G153" s="14" t="n"/>
      <c r="H153" s="14" t="n"/>
      <c r="I153" s="14" t="n"/>
      <c r="V153" s="9">
        <f>IF(B153="","",IF(COUNTIF(B150:B153,B153)=1,B153,""))</f>
        <v/>
      </c>
    </row>
    <row r="154" ht="15" customHeight="1">
      <c r="A154" s="29" t="n"/>
      <c r="B154" s="14" t="n"/>
      <c r="C154" s="22" t="n"/>
      <c r="D154" s="24" t="n"/>
      <c r="E154" s="31">
        <f>IF(B154="","",COUNTIF($V$10:V154,B154))</f>
        <v/>
      </c>
      <c r="F154" s="41">
        <f>IF(V154="","",IF(E154&gt;=IF(N($C$5)&gt;0,$C$5,3),"Revient : appeler",IF(E154&gt;=2,"Déjà dans la liste","")))</f>
        <v/>
      </c>
      <c r="G154" s="14" t="n"/>
      <c r="H154" s="14" t="n"/>
      <c r="I154" s="14" t="n"/>
      <c r="V154" s="9">
        <f>IF(B154="","",IF(COUNTIF(B150:B154,B154)=1,B154,""))</f>
        <v/>
      </c>
    </row>
    <row r="155" ht="15" customHeight="1">
      <c r="A155" s="35">
        <f>IF($C$4="","",$C$4+203)</f>
        <v/>
      </c>
      <c r="B155" s="36" t="n"/>
      <c r="C155" s="37" t="n"/>
      <c r="D155" s="38" t="n"/>
      <c r="E155" s="39">
        <f>IF(B155="","",COUNTIF($V$10:V155,B155))</f>
        <v/>
      </c>
      <c r="F155" s="40">
        <f>IF(V155="","",IF(E155&gt;=IF(N($C$5)&gt;0,$C$5,3),"Revient : appeler",IF(E155&gt;=2,"Déjà dans la liste","")))</f>
        <v/>
      </c>
      <c r="G155" s="36" t="n"/>
      <c r="H155" s="36" t="n"/>
      <c r="I155" s="36" t="n"/>
      <c r="V155" s="9">
        <f>IF(B155="","",IF(COUNTIF(B155:B155,B155)=1,B155,""))</f>
        <v/>
      </c>
    </row>
    <row r="156" ht="15" customHeight="1">
      <c r="A156" s="29" t="n"/>
      <c r="B156" s="14" t="n"/>
      <c r="C156" s="22" t="n"/>
      <c r="D156" s="24" t="n"/>
      <c r="E156" s="31">
        <f>IF(B156="","",COUNTIF($V$10:V156,B156))</f>
        <v/>
      </c>
      <c r="F156" s="41">
        <f>IF(V156="","",IF(E156&gt;=IF(N($C$5)&gt;0,$C$5,3),"Revient : appeler",IF(E156&gt;=2,"Déjà dans la liste","")))</f>
        <v/>
      </c>
      <c r="G156" s="14" t="n"/>
      <c r="H156" s="14" t="n"/>
      <c r="I156" s="14" t="n"/>
      <c r="V156" s="9">
        <f>IF(B156="","",IF(COUNTIF(B155:B156,B156)=1,B156,""))</f>
        <v/>
      </c>
    </row>
    <row r="157" ht="15" customHeight="1">
      <c r="A157" s="29" t="n"/>
      <c r="B157" s="14" t="n"/>
      <c r="C157" s="22" t="n"/>
      <c r="D157" s="24" t="n"/>
      <c r="E157" s="31">
        <f>IF(B157="","",COUNTIF($V$10:V157,B157))</f>
        <v/>
      </c>
      <c r="F157" s="41">
        <f>IF(V157="","",IF(E157&gt;=IF(N($C$5)&gt;0,$C$5,3),"Revient : appeler",IF(E157&gt;=2,"Déjà dans la liste","")))</f>
        <v/>
      </c>
      <c r="G157" s="14" t="n"/>
      <c r="H157" s="14" t="n"/>
      <c r="I157" s="14" t="n"/>
      <c r="V157" s="9">
        <f>IF(B157="","",IF(COUNTIF(B155:B157,B157)=1,B157,""))</f>
        <v/>
      </c>
    </row>
    <row r="158" ht="15" customHeight="1">
      <c r="A158" s="29" t="n"/>
      <c r="B158" s="14" t="n"/>
      <c r="C158" s="22" t="n"/>
      <c r="D158" s="24" t="n"/>
      <c r="E158" s="31">
        <f>IF(B158="","",COUNTIF($V$10:V158,B158))</f>
        <v/>
      </c>
      <c r="F158" s="41">
        <f>IF(V158="","",IF(E158&gt;=IF(N($C$5)&gt;0,$C$5,3),"Revient : appeler",IF(E158&gt;=2,"Déjà dans la liste","")))</f>
        <v/>
      </c>
      <c r="G158" s="14" t="n"/>
      <c r="H158" s="14" t="n"/>
      <c r="I158" s="14" t="n"/>
      <c r="V158" s="9">
        <f>IF(B158="","",IF(COUNTIF(B155:B158,B158)=1,B158,""))</f>
        <v/>
      </c>
    </row>
    <row r="159" ht="15" customHeight="1">
      <c r="A159" s="29" t="n"/>
      <c r="B159" s="14" t="n"/>
      <c r="C159" s="22" t="n"/>
      <c r="D159" s="24" t="n"/>
      <c r="E159" s="31">
        <f>IF(B159="","",COUNTIF($V$10:V159,B159))</f>
        <v/>
      </c>
      <c r="F159" s="41">
        <f>IF(V159="","",IF(E159&gt;=IF(N($C$5)&gt;0,$C$5,3),"Revient : appeler",IF(E159&gt;=2,"Déjà dans la liste","")))</f>
        <v/>
      </c>
      <c r="G159" s="14" t="n"/>
      <c r="H159" s="14" t="n"/>
      <c r="I159" s="14" t="n"/>
      <c r="V159" s="9">
        <f>IF(B159="","",IF(COUNTIF(B155:B159,B159)=1,B159,""))</f>
        <v/>
      </c>
    </row>
    <row r="160" ht="15" customHeight="1">
      <c r="A160" s="35">
        <f>IF($C$4="","",$C$4+210)</f>
        <v/>
      </c>
      <c r="B160" s="36" t="n"/>
      <c r="C160" s="37" t="n"/>
      <c r="D160" s="38" t="n"/>
      <c r="E160" s="39">
        <f>IF(B160="","",COUNTIF($V$10:V160,B160))</f>
        <v/>
      </c>
      <c r="F160" s="40">
        <f>IF(V160="","",IF(E160&gt;=IF(N($C$5)&gt;0,$C$5,3),"Revient : appeler",IF(E160&gt;=2,"Déjà dans la liste","")))</f>
        <v/>
      </c>
      <c r="G160" s="36" t="n"/>
      <c r="H160" s="36" t="n"/>
      <c r="I160" s="36" t="n"/>
      <c r="V160" s="9">
        <f>IF(B160="","",IF(COUNTIF(B160:B160,B160)=1,B160,""))</f>
        <v/>
      </c>
    </row>
    <row r="161" ht="15" customHeight="1">
      <c r="A161" s="29" t="n"/>
      <c r="B161" s="14" t="n"/>
      <c r="C161" s="22" t="n"/>
      <c r="D161" s="24" t="n"/>
      <c r="E161" s="31">
        <f>IF(B161="","",COUNTIF($V$10:V161,B161))</f>
        <v/>
      </c>
      <c r="F161" s="41">
        <f>IF(V161="","",IF(E161&gt;=IF(N($C$5)&gt;0,$C$5,3),"Revient : appeler",IF(E161&gt;=2,"Déjà dans la liste","")))</f>
        <v/>
      </c>
      <c r="G161" s="14" t="n"/>
      <c r="H161" s="14" t="n"/>
      <c r="I161" s="14" t="n"/>
      <c r="V161" s="9">
        <f>IF(B161="","",IF(COUNTIF(B160:B161,B161)=1,B161,""))</f>
        <v/>
      </c>
    </row>
    <row r="162" ht="15" customHeight="1">
      <c r="A162" s="29" t="n"/>
      <c r="B162" s="14" t="n"/>
      <c r="C162" s="22" t="n"/>
      <c r="D162" s="24" t="n"/>
      <c r="E162" s="31">
        <f>IF(B162="","",COUNTIF($V$10:V162,B162))</f>
        <v/>
      </c>
      <c r="F162" s="41">
        <f>IF(V162="","",IF(E162&gt;=IF(N($C$5)&gt;0,$C$5,3),"Revient : appeler",IF(E162&gt;=2,"Déjà dans la liste","")))</f>
        <v/>
      </c>
      <c r="G162" s="14" t="n"/>
      <c r="H162" s="14" t="n"/>
      <c r="I162" s="14" t="n"/>
      <c r="V162" s="9">
        <f>IF(B162="","",IF(COUNTIF(B160:B162,B162)=1,B162,""))</f>
        <v/>
      </c>
    </row>
    <row r="163" ht="15" customHeight="1">
      <c r="A163" s="29" t="n"/>
      <c r="B163" s="14" t="n"/>
      <c r="C163" s="22" t="n"/>
      <c r="D163" s="24" t="n"/>
      <c r="E163" s="31">
        <f>IF(B163="","",COUNTIF($V$10:V163,B163))</f>
        <v/>
      </c>
      <c r="F163" s="41">
        <f>IF(V163="","",IF(E163&gt;=IF(N($C$5)&gt;0,$C$5,3),"Revient : appeler",IF(E163&gt;=2,"Déjà dans la liste","")))</f>
        <v/>
      </c>
      <c r="G163" s="14" t="n"/>
      <c r="H163" s="14" t="n"/>
      <c r="I163" s="14" t="n"/>
      <c r="V163" s="9">
        <f>IF(B163="","",IF(COUNTIF(B160:B163,B163)=1,B163,""))</f>
        <v/>
      </c>
    </row>
    <row r="164" ht="15" customHeight="1">
      <c r="A164" s="29" t="n"/>
      <c r="B164" s="14" t="n"/>
      <c r="C164" s="22" t="n"/>
      <c r="D164" s="24" t="n"/>
      <c r="E164" s="31">
        <f>IF(B164="","",COUNTIF($V$10:V164,B164))</f>
        <v/>
      </c>
      <c r="F164" s="41">
        <f>IF(V164="","",IF(E164&gt;=IF(N($C$5)&gt;0,$C$5,3),"Revient : appeler",IF(E164&gt;=2,"Déjà dans la liste","")))</f>
        <v/>
      </c>
      <c r="G164" s="14" t="n"/>
      <c r="H164" s="14" t="n"/>
      <c r="I164" s="14" t="n"/>
      <c r="V164" s="9">
        <f>IF(B164="","",IF(COUNTIF(B160:B164,B164)=1,B164,""))</f>
        <v/>
      </c>
    </row>
    <row r="165" ht="15" customHeight="1">
      <c r="A165" s="35">
        <f>IF($C$4="","",$C$4+217)</f>
        <v/>
      </c>
      <c r="B165" s="36" t="n"/>
      <c r="C165" s="37" t="n"/>
      <c r="D165" s="38" t="n"/>
      <c r="E165" s="39">
        <f>IF(B165="","",COUNTIF($V$10:V165,B165))</f>
        <v/>
      </c>
      <c r="F165" s="40">
        <f>IF(V165="","",IF(E165&gt;=IF(N($C$5)&gt;0,$C$5,3),"Revient : appeler",IF(E165&gt;=2,"Déjà dans la liste","")))</f>
        <v/>
      </c>
      <c r="G165" s="36" t="n"/>
      <c r="H165" s="36" t="n"/>
      <c r="I165" s="36" t="n"/>
      <c r="V165" s="9">
        <f>IF(B165="","",IF(COUNTIF(B165:B165,B165)=1,B165,""))</f>
        <v/>
      </c>
    </row>
    <row r="166" ht="15" customHeight="1">
      <c r="A166" s="29" t="n"/>
      <c r="B166" s="14" t="n"/>
      <c r="C166" s="22" t="n"/>
      <c r="D166" s="24" t="n"/>
      <c r="E166" s="31">
        <f>IF(B166="","",COUNTIF($V$10:V166,B166))</f>
        <v/>
      </c>
      <c r="F166" s="41">
        <f>IF(V166="","",IF(E166&gt;=IF(N($C$5)&gt;0,$C$5,3),"Revient : appeler",IF(E166&gt;=2,"Déjà dans la liste","")))</f>
        <v/>
      </c>
      <c r="G166" s="14" t="n"/>
      <c r="H166" s="14" t="n"/>
      <c r="I166" s="14" t="n"/>
      <c r="V166" s="9">
        <f>IF(B166="","",IF(COUNTIF(B165:B166,B166)=1,B166,""))</f>
        <v/>
      </c>
    </row>
    <row r="167" ht="15" customHeight="1">
      <c r="A167" s="29" t="n"/>
      <c r="B167" s="14" t="n"/>
      <c r="C167" s="22" t="n"/>
      <c r="D167" s="24" t="n"/>
      <c r="E167" s="31">
        <f>IF(B167="","",COUNTIF($V$10:V167,B167))</f>
        <v/>
      </c>
      <c r="F167" s="41">
        <f>IF(V167="","",IF(E167&gt;=IF(N($C$5)&gt;0,$C$5,3),"Revient : appeler",IF(E167&gt;=2,"Déjà dans la liste","")))</f>
        <v/>
      </c>
      <c r="G167" s="14" t="n"/>
      <c r="H167" s="14" t="n"/>
      <c r="I167" s="14" t="n"/>
      <c r="V167" s="9">
        <f>IF(B167="","",IF(COUNTIF(B165:B167,B167)=1,B167,""))</f>
        <v/>
      </c>
    </row>
    <row r="168" ht="15" customHeight="1">
      <c r="A168" s="29" t="n"/>
      <c r="B168" s="14" t="n"/>
      <c r="C168" s="22" t="n"/>
      <c r="D168" s="24" t="n"/>
      <c r="E168" s="31">
        <f>IF(B168="","",COUNTIF($V$10:V168,B168))</f>
        <v/>
      </c>
      <c r="F168" s="41">
        <f>IF(V168="","",IF(E168&gt;=IF(N($C$5)&gt;0,$C$5,3),"Revient : appeler",IF(E168&gt;=2,"Déjà dans la liste","")))</f>
        <v/>
      </c>
      <c r="G168" s="14" t="n"/>
      <c r="H168" s="14" t="n"/>
      <c r="I168" s="14" t="n"/>
      <c r="V168" s="9">
        <f>IF(B168="","",IF(COUNTIF(B165:B168,B168)=1,B168,""))</f>
        <v/>
      </c>
    </row>
    <row r="169" ht="15" customHeight="1">
      <c r="A169" s="29" t="n"/>
      <c r="B169" s="14" t="n"/>
      <c r="C169" s="22" t="n"/>
      <c r="D169" s="24" t="n"/>
      <c r="E169" s="31">
        <f>IF(B169="","",COUNTIF($V$10:V169,B169))</f>
        <v/>
      </c>
      <c r="F169" s="41">
        <f>IF(V169="","",IF(E169&gt;=IF(N($C$5)&gt;0,$C$5,3),"Revient : appeler",IF(E169&gt;=2,"Déjà dans la liste","")))</f>
        <v/>
      </c>
      <c r="G169" s="14" t="n"/>
      <c r="H169" s="14" t="n"/>
      <c r="I169" s="14" t="n"/>
      <c r="V169" s="9">
        <f>IF(B169="","",IF(COUNTIF(B165:B169,B169)=1,B169,""))</f>
        <v/>
      </c>
    </row>
    <row r="170" ht="15" customHeight="1">
      <c r="A170" s="35">
        <f>IF($C$4="","",$C$4+224)</f>
        <v/>
      </c>
      <c r="B170" s="36" t="n"/>
      <c r="C170" s="37" t="n"/>
      <c r="D170" s="38" t="n"/>
      <c r="E170" s="39">
        <f>IF(B170="","",COUNTIF($V$10:V170,B170))</f>
        <v/>
      </c>
      <c r="F170" s="40">
        <f>IF(V170="","",IF(E170&gt;=IF(N($C$5)&gt;0,$C$5,3),"Revient : appeler",IF(E170&gt;=2,"Déjà dans la liste","")))</f>
        <v/>
      </c>
      <c r="G170" s="36" t="n"/>
      <c r="H170" s="36" t="n"/>
      <c r="I170" s="36" t="n"/>
      <c r="V170" s="9">
        <f>IF(B170="","",IF(COUNTIF(B170:B170,B170)=1,B170,""))</f>
        <v/>
      </c>
    </row>
    <row r="171" ht="15" customHeight="1">
      <c r="A171" s="29" t="n"/>
      <c r="B171" s="14" t="n"/>
      <c r="C171" s="22" t="n"/>
      <c r="D171" s="24" t="n"/>
      <c r="E171" s="31">
        <f>IF(B171="","",COUNTIF($V$10:V171,B171))</f>
        <v/>
      </c>
      <c r="F171" s="41">
        <f>IF(V171="","",IF(E171&gt;=IF(N($C$5)&gt;0,$C$5,3),"Revient : appeler",IF(E171&gt;=2,"Déjà dans la liste","")))</f>
        <v/>
      </c>
      <c r="G171" s="14" t="n"/>
      <c r="H171" s="14" t="n"/>
      <c r="I171" s="14" t="n"/>
      <c r="V171" s="9">
        <f>IF(B171="","",IF(COUNTIF(B170:B171,B171)=1,B171,""))</f>
        <v/>
      </c>
    </row>
    <row r="172" ht="15" customHeight="1">
      <c r="A172" s="29" t="n"/>
      <c r="B172" s="14" t="n"/>
      <c r="C172" s="22" t="n"/>
      <c r="D172" s="24" t="n"/>
      <c r="E172" s="31">
        <f>IF(B172="","",COUNTIF($V$10:V172,B172))</f>
        <v/>
      </c>
      <c r="F172" s="41">
        <f>IF(V172="","",IF(E172&gt;=IF(N($C$5)&gt;0,$C$5,3),"Revient : appeler",IF(E172&gt;=2,"Déjà dans la liste","")))</f>
        <v/>
      </c>
      <c r="G172" s="14" t="n"/>
      <c r="H172" s="14" t="n"/>
      <c r="I172" s="14" t="n"/>
      <c r="V172" s="9">
        <f>IF(B172="","",IF(COUNTIF(B170:B172,B172)=1,B172,""))</f>
        <v/>
      </c>
    </row>
    <row r="173" ht="15" customHeight="1">
      <c r="A173" s="29" t="n"/>
      <c r="B173" s="14" t="n"/>
      <c r="C173" s="22" t="n"/>
      <c r="D173" s="24" t="n"/>
      <c r="E173" s="31">
        <f>IF(B173="","",COUNTIF($V$10:V173,B173))</f>
        <v/>
      </c>
      <c r="F173" s="41">
        <f>IF(V173="","",IF(E173&gt;=IF(N($C$5)&gt;0,$C$5,3),"Revient : appeler",IF(E173&gt;=2,"Déjà dans la liste","")))</f>
        <v/>
      </c>
      <c r="G173" s="14" t="n"/>
      <c r="H173" s="14" t="n"/>
      <c r="I173" s="14" t="n"/>
      <c r="V173" s="9">
        <f>IF(B173="","",IF(COUNTIF(B170:B173,B173)=1,B173,""))</f>
        <v/>
      </c>
    </row>
    <row r="174" ht="15" customHeight="1">
      <c r="A174" s="29" t="n"/>
      <c r="B174" s="14" t="n"/>
      <c r="C174" s="22" t="n"/>
      <c r="D174" s="24" t="n"/>
      <c r="E174" s="31">
        <f>IF(B174="","",COUNTIF($V$10:V174,B174))</f>
        <v/>
      </c>
      <c r="F174" s="41">
        <f>IF(V174="","",IF(E174&gt;=IF(N($C$5)&gt;0,$C$5,3),"Revient : appeler",IF(E174&gt;=2,"Déjà dans la liste","")))</f>
        <v/>
      </c>
      <c r="G174" s="14" t="n"/>
      <c r="H174" s="14" t="n"/>
      <c r="I174" s="14" t="n"/>
      <c r="V174" s="9">
        <f>IF(B174="","",IF(COUNTIF(B170:B174,B174)=1,B174,""))</f>
        <v/>
      </c>
    </row>
    <row r="175" ht="15" customHeight="1">
      <c r="A175" s="35">
        <f>IF($C$4="","",$C$4+231)</f>
        <v/>
      </c>
      <c r="B175" s="36" t="n"/>
      <c r="C175" s="37" t="n"/>
      <c r="D175" s="38" t="n"/>
      <c r="E175" s="39">
        <f>IF(B175="","",COUNTIF($V$10:V175,B175))</f>
        <v/>
      </c>
      <c r="F175" s="40">
        <f>IF(V175="","",IF(E175&gt;=IF(N($C$5)&gt;0,$C$5,3),"Revient : appeler",IF(E175&gt;=2,"Déjà dans la liste","")))</f>
        <v/>
      </c>
      <c r="G175" s="36" t="n"/>
      <c r="H175" s="36" t="n"/>
      <c r="I175" s="36" t="n"/>
      <c r="V175" s="9">
        <f>IF(B175="","",IF(COUNTIF(B175:B175,B175)=1,B175,""))</f>
        <v/>
      </c>
    </row>
    <row r="176" ht="15" customHeight="1">
      <c r="A176" s="29" t="n"/>
      <c r="B176" s="14" t="n"/>
      <c r="C176" s="22" t="n"/>
      <c r="D176" s="24" t="n"/>
      <c r="E176" s="31">
        <f>IF(B176="","",COUNTIF($V$10:V176,B176))</f>
        <v/>
      </c>
      <c r="F176" s="41">
        <f>IF(V176="","",IF(E176&gt;=IF(N($C$5)&gt;0,$C$5,3),"Revient : appeler",IF(E176&gt;=2,"Déjà dans la liste","")))</f>
        <v/>
      </c>
      <c r="G176" s="14" t="n"/>
      <c r="H176" s="14" t="n"/>
      <c r="I176" s="14" t="n"/>
      <c r="V176" s="9">
        <f>IF(B176="","",IF(COUNTIF(B175:B176,B176)=1,B176,""))</f>
        <v/>
      </c>
    </row>
    <row r="177" ht="15" customHeight="1">
      <c r="A177" s="29" t="n"/>
      <c r="B177" s="14" t="n"/>
      <c r="C177" s="22" t="n"/>
      <c r="D177" s="24" t="n"/>
      <c r="E177" s="31">
        <f>IF(B177="","",COUNTIF($V$10:V177,B177))</f>
        <v/>
      </c>
      <c r="F177" s="41">
        <f>IF(V177="","",IF(E177&gt;=IF(N($C$5)&gt;0,$C$5,3),"Revient : appeler",IF(E177&gt;=2,"Déjà dans la liste","")))</f>
        <v/>
      </c>
      <c r="G177" s="14" t="n"/>
      <c r="H177" s="14" t="n"/>
      <c r="I177" s="14" t="n"/>
      <c r="V177" s="9">
        <f>IF(B177="","",IF(COUNTIF(B175:B177,B177)=1,B177,""))</f>
        <v/>
      </c>
    </row>
    <row r="178" ht="15" customHeight="1">
      <c r="A178" s="29" t="n"/>
      <c r="B178" s="14" t="n"/>
      <c r="C178" s="22" t="n"/>
      <c r="D178" s="24" t="n"/>
      <c r="E178" s="31">
        <f>IF(B178="","",COUNTIF($V$10:V178,B178))</f>
        <v/>
      </c>
      <c r="F178" s="41">
        <f>IF(V178="","",IF(E178&gt;=IF(N($C$5)&gt;0,$C$5,3),"Revient : appeler",IF(E178&gt;=2,"Déjà dans la liste","")))</f>
        <v/>
      </c>
      <c r="G178" s="14" t="n"/>
      <c r="H178" s="14" t="n"/>
      <c r="I178" s="14" t="n"/>
      <c r="V178" s="9">
        <f>IF(B178="","",IF(COUNTIF(B175:B178,B178)=1,B178,""))</f>
        <v/>
      </c>
    </row>
    <row r="179" ht="15" customHeight="1">
      <c r="A179" s="29" t="n"/>
      <c r="B179" s="14" t="n"/>
      <c r="C179" s="22" t="n"/>
      <c r="D179" s="24" t="n"/>
      <c r="E179" s="31">
        <f>IF(B179="","",COUNTIF($V$10:V179,B179))</f>
        <v/>
      </c>
      <c r="F179" s="41">
        <f>IF(V179="","",IF(E179&gt;=IF(N($C$5)&gt;0,$C$5,3),"Revient : appeler",IF(E179&gt;=2,"Déjà dans la liste","")))</f>
        <v/>
      </c>
      <c r="G179" s="14" t="n"/>
      <c r="H179" s="14" t="n"/>
      <c r="I179" s="14" t="n"/>
      <c r="V179" s="9">
        <f>IF(B179="","",IF(COUNTIF(B175:B179,B179)=1,B179,""))</f>
        <v/>
      </c>
    </row>
    <row r="180" ht="15" customHeight="1">
      <c r="A180" s="35">
        <f>IF($C$4="","",$C$4+238)</f>
        <v/>
      </c>
      <c r="B180" s="36" t="n"/>
      <c r="C180" s="37" t="n"/>
      <c r="D180" s="38" t="n"/>
      <c r="E180" s="39">
        <f>IF(B180="","",COUNTIF($V$10:V180,B180))</f>
        <v/>
      </c>
      <c r="F180" s="40">
        <f>IF(V180="","",IF(E180&gt;=IF(N($C$5)&gt;0,$C$5,3),"Revient : appeler",IF(E180&gt;=2,"Déjà dans la liste","")))</f>
        <v/>
      </c>
      <c r="G180" s="36" t="n"/>
      <c r="H180" s="36" t="n"/>
      <c r="I180" s="36" t="n"/>
      <c r="V180" s="9">
        <f>IF(B180="","",IF(COUNTIF(B180:B180,B180)=1,B180,""))</f>
        <v/>
      </c>
    </row>
    <row r="181" ht="15" customHeight="1">
      <c r="A181" s="29" t="n"/>
      <c r="B181" s="14" t="n"/>
      <c r="C181" s="22" t="n"/>
      <c r="D181" s="24" t="n"/>
      <c r="E181" s="31">
        <f>IF(B181="","",COUNTIF($V$10:V181,B181))</f>
        <v/>
      </c>
      <c r="F181" s="41">
        <f>IF(V181="","",IF(E181&gt;=IF(N($C$5)&gt;0,$C$5,3),"Revient : appeler",IF(E181&gt;=2,"Déjà dans la liste","")))</f>
        <v/>
      </c>
      <c r="G181" s="14" t="n"/>
      <c r="H181" s="14" t="n"/>
      <c r="I181" s="14" t="n"/>
      <c r="V181" s="9">
        <f>IF(B181="","",IF(COUNTIF(B180:B181,B181)=1,B181,""))</f>
        <v/>
      </c>
    </row>
    <row r="182" ht="15" customHeight="1">
      <c r="A182" s="29" t="n"/>
      <c r="B182" s="14" t="n"/>
      <c r="C182" s="22" t="n"/>
      <c r="D182" s="24" t="n"/>
      <c r="E182" s="31">
        <f>IF(B182="","",COUNTIF($V$10:V182,B182))</f>
        <v/>
      </c>
      <c r="F182" s="41">
        <f>IF(V182="","",IF(E182&gt;=IF(N($C$5)&gt;0,$C$5,3),"Revient : appeler",IF(E182&gt;=2,"Déjà dans la liste","")))</f>
        <v/>
      </c>
      <c r="G182" s="14" t="n"/>
      <c r="H182" s="14" t="n"/>
      <c r="I182" s="14" t="n"/>
      <c r="V182" s="9">
        <f>IF(B182="","",IF(COUNTIF(B180:B182,B182)=1,B182,""))</f>
        <v/>
      </c>
    </row>
    <row r="183" ht="15" customHeight="1">
      <c r="A183" s="29" t="n"/>
      <c r="B183" s="14" t="n"/>
      <c r="C183" s="22" t="n"/>
      <c r="D183" s="24" t="n"/>
      <c r="E183" s="31">
        <f>IF(B183="","",COUNTIF($V$10:V183,B183))</f>
        <v/>
      </c>
      <c r="F183" s="41">
        <f>IF(V183="","",IF(E183&gt;=IF(N($C$5)&gt;0,$C$5,3),"Revient : appeler",IF(E183&gt;=2,"Déjà dans la liste","")))</f>
        <v/>
      </c>
      <c r="G183" s="14" t="n"/>
      <c r="H183" s="14" t="n"/>
      <c r="I183" s="14" t="n"/>
      <c r="V183" s="9">
        <f>IF(B183="","",IF(COUNTIF(B180:B183,B183)=1,B183,""))</f>
        <v/>
      </c>
    </row>
    <row r="184" ht="15" customHeight="1">
      <c r="A184" s="29" t="n"/>
      <c r="B184" s="14" t="n"/>
      <c r="C184" s="22" t="n"/>
      <c r="D184" s="24" t="n"/>
      <c r="E184" s="31">
        <f>IF(B184="","",COUNTIF($V$10:V184,B184))</f>
        <v/>
      </c>
      <c r="F184" s="41">
        <f>IF(V184="","",IF(E184&gt;=IF(N($C$5)&gt;0,$C$5,3),"Revient : appeler",IF(E184&gt;=2,"Déjà dans la liste","")))</f>
        <v/>
      </c>
      <c r="G184" s="14" t="n"/>
      <c r="H184" s="14" t="n"/>
      <c r="I184" s="14" t="n"/>
      <c r="V184" s="9">
        <f>IF(B184="","",IF(COUNTIF(B180:B184,B184)=1,B184,""))</f>
        <v/>
      </c>
    </row>
    <row r="185" ht="15" customHeight="1">
      <c r="A185" s="35">
        <f>IF($C$4="","",$C$4+245)</f>
        <v/>
      </c>
      <c r="B185" s="36" t="n"/>
      <c r="C185" s="37" t="n"/>
      <c r="D185" s="38" t="n"/>
      <c r="E185" s="39">
        <f>IF(B185="","",COUNTIF($V$10:V185,B185))</f>
        <v/>
      </c>
      <c r="F185" s="40">
        <f>IF(V185="","",IF(E185&gt;=IF(N($C$5)&gt;0,$C$5,3),"Revient : appeler",IF(E185&gt;=2,"Déjà dans la liste","")))</f>
        <v/>
      </c>
      <c r="G185" s="36" t="n"/>
      <c r="H185" s="36" t="n"/>
      <c r="I185" s="36" t="n"/>
      <c r="V185" s="9">
        <f>IF(B185="","",IF(COUNTIF(B185:B185,B185)=1,B185,""))</f>
        <v/>
      </c>
    </row>
    <row r="186" ht="15" customHeight="1">
      <c r="A186" s="29" t="n"/>
      <c r="B186" s="14" t="n"/>
      <c r="C186" s="22" t="n"/>
      <c r="D186" s="24" t="n"/>
      <c r="E186" s="31">
        <f>IF(B186="","",COUNTIF($V$10:V186,B186))</f>
        <v/>
      </c>
      <c r="F186" s="41">
        <f>IF(V186="","",IF(E186&gt;=IF(N($C$5)&gt;0,$C$5,3),"Revient : appeler",IF(E186&gt;=2,"Déjà dans la liste","")))</f>
        <v/>
      </c>
      <c r="G186" s="14" t="n"/>
      <c r="H186" s="14" t="n"/>
      <c r="I186" s="14" t="n"/>
      <c r="V186" s="9">
        <f>IF(B186="","",IF(COUNTIF(B185:B186,B186)=1,B186,""))</f>
        <v/>
      </c>
    </row>
    <row r="187" ht="15" customHeight="1">
      <c r="A187" s="29" t="n"/>
      <c r="B187" s="14" t="n"/>
      <c r="C187" s="22" t="n"/>
      <c r="D187" s="24" t="n"/>
      <c r="E187" s="31">
        <f>IF(B187="","",COUNTIF($V$10:V187,B187))</f>
        <v/>
      </c>
      <c r="F187" s="41">
        <f>IF(V187="","",IF(E187&gt;=IF(N($C$5)&gt;0,$C$5,3),"Revient : appeler",IF(E187&gt;=2,"Déjà dans la liste","")))</f>
        <v/>
      </c>
      <c r="G187" s="14" t="n"/>
      <c r="H187" s="14" t="n"/>
      <c r="I187" s="14" t="n"/>
      <c r="V187" s="9">
        <f>IF(B187="","",IF(COUNTIF(B185:B187,B187)=1,B187,""))</f>
        <v/>
      </c>
    </row>
    <row r="188" ht="15" customHeight="1">
      <c r="A188" s="29" t="n"/>
      <c r="B188" s="14" t="n"/>
      <c r="C188" s="22" t="n"/>
      <c r="D188" s="24" t="n"/>
      <c r="E188" s="31">
        <f>IF(B188="","",COUNTIF($V$10:V188,B188))</f>
        <v/>
      </c>
      <c r="F188" s="41">
        <f>IF(V188="","",IF(E188&gt;=IF(N($C$5)&gt;0,$C$5,3),"Revient : appeler",IF(E188&gt;=2,"Déjà dans la liste","")))</f>
        <v/>
      </c>
      <c r="G188" s="14" t="n"/>
      <c r="H188" s="14" t="n"/>
      <c r="I188" s="14" t="n"/>
      <c r="V188" s="9">
        <f>IF(B188="","",IF(COUNTIF(B185:B188,B188)=1,B188,""))</f>
        <v/>
      </c>
    </row>
    <row r="189" ht="15" customHeight="1">
      <c r="A189" s="29" t="n"/>
      <c r="B189" s="14" t="n"/>
      <c r="C189" s="22" t="n"/>
      <c r="D189" s="24" t="n"/>
      <c r="E189" s="31">
        <f>IF(B189="","",COUNTIF($V$10:V189,B189))</f>
        <v/>
      </c>
      <c r="F189" s="41">
        <f>IF(V189="","",IF(E189&gt;=IF(N($C$5)&gt;0,$C$5,3),"Revient : appeler",IF(E189&gt;=2,"Déjà dans la liste","")))</f>
        <v/>
      </c>
      <c r="G189" s="14" t="n"/>
      <c r="H189" s="14" t="n"/>
      <c r="I189" s="14" t="n"/>
      <c r="V189" s="9">
        <f>IF(B189="","",IF(COUNTIF(B185:B189,B189)=1,B189,""))</f>
        <v/>
      </c>
    </row>
    <row r="190" ht="15" customHeight="1">
      <c r="A190" s="35">
        <f>IF($C$4="","",$C$4+252)</f>
        <v/>
      </c>
      <c r="B190" s="36" t="n"/>
      <c r="C190" s="37" t="n"/>
      <c r="D190" s="38" t="n"/>
      <c r="E190" s="39">
        <f>IF(B190="","",COUNTIF($V$10:V190,B190))</f>
        <v/>
      </c>
      <c r="F190" s="40">
        <f>IF(V190="","",IF(E190&gt;=IF(N($C$5)&gt;0,$C$5,3),"Revient : appeler",IF(E190&gt;=2,"Déjà dans la liste","")))</f>
        <v/>
      </c>
      <c r="G190" s="36" t="n"/>
      <c r="H190" s="36" t="n"/>
      <c r="I190" s="36" t="n"/>
      <c r="V190" s="9">
        <f>IF(B190="","",IF(COUNTIF(B190:B190,B190)=1,B190,""))</f>
        <v/>
      </c>
    </row>
    <row r="191" ht="15" customHeight="1">
      <c r="A191" s="29" t="n"/>
      <c r="B191" s="14" t="n"/>
      <c r="C191" s="22" t="n"/>
      <c r="D191" s="24" t="n"/>
      <c r="E191" s="31">
        <f>IF(B191="","",COUNTIF($V$10:V191,B191))</f>
        <v/>
      </c>
      <c r="F191" s="41">
        <f>IF(V191="","",IF(E191&gt;=IF(N($C$5)&gt;0,$C$5,3),"Revient : appeler",IF(E191&gt;=2,"Déjà dans la liste","")))</f>
        <v/>
      </c>
      <c r="G191" s="14" t="n"/>
      <c r="H191" s="14" t="n"/>
      <c r="I191" s="14" t="n"/>
      <c r="V191" s="9">
        <f>IF(B191="","",IF(COUNTIF(B190:B191,B191)=1,B191,""))</f>
        <v/>
      </c>
    </row>
    <row r="192" ht="15" customHeight="1">
      <c r="A192" s="29" t="n"/>
      <c r="B192" s="14" t="n"/>
      <c r="C192" s="22" t="n"/>
      <c r="D192" s="24" t="n"/>
      <c r="E192" s="31">
        <f>IF(B192="","",COUNTIF($V$10:V192,B192))</f>
        <v/>
      </c>
      <c r="F192" s="41">
        <f>IF(V192="","",IF(E192&gt;=IF(N($C$5)&gt;0,$C$5,3),"Revient : appeler",IF(E192&gt;=2,"Déjà dans la liste","")))</f>
        <v/>
      </c>
      <c r="G192" s="14" t="n"/>
      <c r="H192" s="14" t="n"/>
      <c r="I192" s="14" t="n"/>
      <c r="V192" s="9">
        <f>IF(B192="","",IF(COUNTIF(B190:B192,B192)=1,B192,""))</f>
        <v/>
      </c>
    </row>
    <row r="193" ht="15" customHeight="1">
      <c r="A193" s="29" t="n"/>
      <c r="B193" s="14" t="n"/>
      <c r="C193" s="22" t="n"/>
      <c r="D193" s="24" t="n"/>
      <c r="E193" s="31">
        <f>IF(B193="","",COUNTIF($V$10:V193,B193))</f>
        <v/>
      </c>
      <c r="F193" s="41">
        <f>IF(V193="","",IF(E193&gt;=IF(N($C$5)&gt;0,$C$5,3),"Revient : appeler",IF(E193&gt;=2,"Déjà dans la liste","")))</f>
        <v/>
      </c>
      <c r="G193" s="14" t="n"/>
      <c r="H193" s="14" t="n"/>
      <c r="I193" s="14" t="n"/>
      <c r="V193" s="9">
        <f>IF(B193="","",IF(COUNTIF(B190:B193,B193)=1,B193,""))</f>
        <v/>
      </c>
    </row>
    <row r="194" ht="15" customHeight="1">
      <c r="A194" s="29" t="n"/>
      <c r="B194" s="14" t="n"/>
      <c r="C194" s="22" t="n"/>
      <c r="D194" s="24" t="n"/>
      <c r="E194" s="31">
        <f>IF(B194="","",COUNTIF($V$10:V194,B194))</f>
        <v/>
      </c>
      <c r="F194" s="41">
        <f>IF(V194="","",IF(E194&gt;=IF(N($C$5)&gt;0,$C$5,3),"Revient : appeler",IF(E194&gt;=2,"Déjà dans la liste","")))</f>
        <v/>
      </c>
      <c r="G194" s="14" t="n"/>
      <c r="H194" s="14" t="n"/>
      <c r="I194" s="14" t="n"/>
      <c r="V194" s="9">
        <f>IF(B194="","",IF(COUNTIF(B190:B194,B194)=1,B194,""))</f>
        <v/>
      </c>
    </row>
    <row r="195" ht="15" customHeight="1">
      <c r="A195" s="35">
        <f>IF($C$4="","",$C$4+259)</f>
        <v/>
      </c>
      <c r="B195" s="36" t="n"/>
      <c r="C195" s="37" t="n"/>
      <c r="D195" s="38" t="n"/>
      <c r="E195" s="39">
        <f>IF(B195="","",COUNTIF($V$10:V195,B195))</f>
        <v/>
      </c>
      <c r="F195" s="40">
        <f>IF(V195="","",IF(E195&gt;=IF(N($C$5)&gt;0,$C$5,3),"Revient : appeler",IF(E195&gt;=2,"Déjà dans la liste","")))</f>
        <v/>
      </c>
      <c r="G195" s="36" t="n"/>
      <c r="H195" s="36" t="n"/>
      <c r="I195" s="36" t="n"/>
      <c r="V195" s="9">
        <f>IF(B195="","",IF(COUNTIF(B195:B195,B195)=1,B195,""))</f>
        <v/>
      </c>
    </row>
    <row r="196" ht="15" customHeight="1">
      <c r="A196" s="29" t="n"/>
      <c r="B196" s="14" t="n"/>
      <c r="C196" s="22" t="n"/>
      <c r="D196" s="24" t="n"/>
      <c r="E196" s="31">
        <f>IF(B196="","",COUNTIF($V$10:V196,B196))</f>
        <v/>
      </c>
      <c r="F196" s="41">
        <f>IF(V196="","",IF(E196&gt;=IF(N($C$5)&gt;0,$C$5,3),"Revient : appeler",IF(E196&gt;=2,"Déjà dans la liste","")))</f>
        <v/>
      </c>
      <c r="G196" s="14" t="n"/>
      <c r="H196" s="14" t="n"/>
      <c r="I196" s="14" t="n"/>
      <c r="V196" s="9">
        <f>IF(B196="","",IF(COUNTIF(B195:B196,B196)=1,B196,""))</f>
        <v/>
      </c>
    </row>
    <row r="197" ht="15" customHeight="1">
      <c r="A197" s="29" t="n"/>
      <c r="B197" s="14" t="n"/>
      <c r="C197" s="22" t="n"/>
      <c r="D197" s="24" t="n"/>
      <c r="E197" s="31">
        <f>IF(B197="","",COUNTIF($V$10:V197,B197))</f>
        <v/>
      </c>
      <c r="F197" s="41">
        <f>IF(V197="","",IF(E197&gt;=IF(N($C$5)&gt;0,$C$5,3),"Revient : appeler",IF(E197&gt;=2,"Déjà dans la liste","")))</f>
        <v/>
      </c>
      <c r="G197" s="14" t="n"/>
      <c r="H197" s="14" t="n"/>
      <c r="I197" s="14" t="n"/>
      <c r="V197" s="9">
        <f>IF(B197="","",IF(COUNTIF(B195:B197,B197)=1,B197,""))</f>
        <v/>
      </c>
    </row>
    <row r="198" ht="15" customHeight="1">
      <c r="A198" s="29" t="n"/>
      <c r="B198" s="14" t="n"/>
      <c r="C198" s="22" t="n"/>
      <c r="D198" s="24" t="n"/>
      <c r="E198" s="31">
        <f>IF(B198="","",COUNTIF($V$10:V198,B198))</f>
        <v/>
      </c>
      <c r="F198" s="41">
        <f>IF(V198="","",IF(E198&gt;=IF(N($C$5)&gt;0,$C$5,3),"Revient : appeler",IF(E198&gt;=2,"Déjà dans la liste","")))</f>
        <v/>
      </c>
      <c r="G198" s="14" t="n"/>
      <c r="H198" s="14" t="n"/>
      <c r="I198" s="14" t="n"/>
      <c r="V198" s="9">
        <f>IF(B198="","",IF(COUNTIF(B195:B198,B198)=1,B198,""))</f>
        <v/>
      </c>
    </row>
    <row r="199" ht="15" customHeight="1">
      <c r="A199" s="29" t="n"/>
      <c r="B199" s="14" t="n"/>
      <c r="C199" s="22" t="n"/>
      <c r="D199" s="24" t="n"/>
      <c r="E199" s="31">
        <f>IF(B199="","",COUNTIF($V$10:V199,B199))</f>
        <v/>
      </c>
      <c r="F199" s="41">
        <f>IF(V199="","",IF(E199&gt;=IF(N($C$5)&gt;0,$C$5,3),"Revient : appeler",IF(E199&gt;=2,"Déjà dans la liste","")))</f>
        <v/>
      </c>
      <c r="G199" s="14" t="n"/>
      <c r="H199" s="14" t="n"/>
      <c r="I199" s="14" t="n"/>
      <c r="V199" s="9">
        <f>IF(B199="","",IF(COUNTIF(B195:B199,B199)=1,B199,""))</f>
        <v/>
      </c>
    </row>
    <row r="200" ht="15" customHeight="1">
      <c r="A200" s="35">
        <f>IF($C$4="","",$C$4+266)</f>
        <v/>
      </c>
      <c r="B200" s="36" t="n"/>
      <c r="C200" s="37" t="n"/>
      <c r="D200" s="38" t="n"/>
      <c r="E200" s="39">
        <f>IF(B200="","",COUNTIF($V$10:V200,B200))</f>
        <v/>
      </c>
      <c r="F200" s="40">
        <f>IF(V200="","",IF(E200&gt;=IF(N($C$5)&gt;0,$C$5,3),"Revient : appeler",IF(E200&gt;=2,"Déjà dans la liste","")))</f>
        <v/>
      </c>
      <c r="G200" s="36" t="n"/>
      <c r="H200" s="36" t="n"/>
      <c r="I200" s="36" t="n"/>
      <c r="V200" s="9">
        <f>IF(B200="","",IF(COUNTIF(B200:B200,B200)=1,B200,""))</f>
        <v/>
      </c>
    </row>
    <row r="201" ht="15" customHeight="1">
      <c r="A201" s="29" t="n"/>
      <c r="B201" s="14" t="n"/>
      <c r="C201" s="22" t="n"/>
      <c r="D201" s="24" t="n"/>
      <c r="E201" s="31">
        <f>IF(B201="","",COUNTIF($V$10:V201,B201))</f>
        <v/>
      </c>
      <c r="F201" s="41">
        <f>IF(V201="","",IF(E201&gt;=IF(N($C$5)&gt;0,$C$5,3),"Revient : appeler",IF(E201&gt;=2,"Déjà dans la liste","")))</f>
        <v/>
      </c>
      <c r="G201" s="14" t="n"/>
      <c r="H201" s="14" t="n"/>
      <c r="I201" s="14" t="n"/>
      <c r="V201" s="9">
        <f>IF(B201="","",IF(COUNTIF(B200:B201,B201)=1,B201,""))</f>
        <v/>
      </c>
    </row>
    <row r="202" ht="15" customHeight="1">
      <c r="A202" s="29" t="n"/>
      <c r="B202" s="14" t="n"/>
      <c r="C202" s="22" t="n"/>
      <c r="D202" s="24" t="n"/>
      <c r="E202" s="31">
        <f>IF(B202="","",COUNTIF($V$10:V202,B202))</f>
        <v/>
      </c>
      <c r="F202" s="41">
        <f>IF(V202="","",IF(E202&gt;=IF(N($C$5)&gt;0,$C$5,3),"Revient : appeler",IF(E202&gt;=2,"Déjà dans la liste","")))</f>
        <v/>
      </c>
      <c r="G202" s="14" t="n"/>
      <c r="H202" s="14" t="n"/>
      <c r="I202" s="14" t="n"/>
      <c r="V202" s="9">
        <f>IF(B202="","",IF(COUNTIF(B200:B202,B202)=1,B202,""))</f>
        <v/>
      </c>
    </row>
    <row r="203" ht="15" customHeight="1">
      <c r="A203" s="29" t="n"/>
      <c r="B203" s="14" t="n"/>
      <c r="C203" s="22" t="n"/>
      <c r="D203" s="24" t="n"/>
      <c r="E203" s="31">
        <f>IF(B203="","",COUNTIF($V$10:V203,B203))</f>
        <v/>
      </c>
      <c r="F203" s="41">
        <f>IF(V203="","",IF(E203&gt;=IF(N($C$5)&gt;0,$C$5,3),"Revient : appeler",IF(E203&gt;=2,"Déjà dans la liste","")))</f>
        <v/>
      </c>
      <c r="G203" s="14" t="n"/>
      <c r="H203" s="14" t="n"/>
      <c r="I203" s="14" t="n"/>
      <c r="V203" s="9">
        <f>IF(B203="","",IF(COUNTIF(B200:B203,B203)=1,B203,""))</f>
        <v/>
      </c>
    </row>
    <row r="204" ht="15" customHeight="1">
      <c r="A204" s="29" t="n"/>
      <c r="B204" s="14" t="n"/>
      <c r="C204" s="22" t="n"/>
      <c r="D204" s="24" t="n"/>
      <c r="E204" s="31">
        <f>IF(B204="","",COUNTIF($V$10:V204,B204))</f>
        <v/>
      </c>
      <c r="F204" s="41">
        <f>IF(V204="","",IF(E204&gt;=IF(N($C$5)&gt;0,$C$5,3),"Revient : appeler",IF(E204&gt;=2,"Déjà dans la liste","")))</f>
        <v/>
      </c>
      <c r="G204" s="14" t="n"/>
      <c r="H204" s="14" t="n"/>
      <c r="I204" s="14" t="n"/>
      <c r="V204" s="9">
        <f>IF(B204="","",IF(COUNTIF(B200:B204,B204)=1,B204,""))</f>
        <v/>
      </c>
    </row>
    <row r="205" ht="15" customHeight="1">
      <c r="A205" s="35">
        <f>IF($C$4="","",$C$4+273)</f>
        <v/>
      </c>
      <c r="B205" s="36" t="n"/>
      <c r="C205" s="37" t="n"/>
      <c r="D205" s="38" t="n"/>
      <c r="E205" s="39">
        <f>IF(B205="","",COUNTIF($V$10:V205,B205))</f>
        <v/>
      </c>
      <c r="F205" s="40">
        <f>IF(V205="","",IF(E205&gt;=IF(N($C$5)&gt;0,$C$5,3),"Revient : appeler",IF(E205&gt;=2,"Déjà dans la liste","")))</f>
        <v/>
      </c>
      <c r="G205" s="36" t="n"/>
      <c r="H205" s="36" t="n"/>
      <c r="I205" s="36" t="n"/>
      <c r="V205" s="9">
        <f>IF(B205="","",IF(COUNTIF(B205:B205,B205)=1,B205,""))</f>
        <v/>
      </c>
    </row>
    <row r="206" ht="15" customHeight="1">
      <c r="A206" s="29" t="n"/>
      <c r="B206" s="14" t="n"/>
      <c r="C206" s="22" t="n"/>
      <c r="D206" s="24" t="n"/>
      <c r="E206" s="31">
        <f>IF(B206="","",COUNTIF($V$10:V206,B206))</f>
        <v/>
      </c>
      <c r="F206" s="41">
        <f>IF(V206="","",IF(E206&gt;=IF(N($C$5)&gt;0,$C$5,3),"Revient : appeler",IF(E206&gt;=2,"Déjà dans la liste","")))</f>
        <v/>
      </c>
      <c r="G206" s="14" t="n"/>
      <c r="H206" s="14" t="n"/>
      <c r="I206" s="14" t="n"/>
      <c r="V206" s="9">
        <f>IF(B206="","",IF(COUNTIF(B205:B206,B206)=1,B206,""))</f>
        <v/>
      </c>
    </row>
    <row r="207" ht="15" customHeight="1">
      <c r="A207" s="29" t="n"/>
      <c r="B207" s="14" t="n"/>
      <c r="C207" s="22" t="n"/>
      <c r="D207" s="24" t="n"/>
      <c r="E207" s="31">
        <f>IF(B207="","",COUNTIF($V$10:V207,B207))</f>
        <v/>
      </c>
      <c r="F207" s="41">
        <f>IF(V207="","",IF(E207&gt;=IF(N($C$5)&gt;0,$C$5,3),"Revient : appeler",IF(E207&gt;=2,"Déjà dans la liste","")))</f>
        <v/>
      </c>
      <c r="G207" s="14" t="n"/>
      <c r="H207" s="14" t="n"/>
      <c r="I207" s="14" t="n"/>
      <c r="V207" s="9">
        <f>IF(B207="","",IF(COUNTIF(B205:B207,B207)=1,B207,""))</f>
        <v/>
      </c>
    </row>
    <row r="208" ht="15" customHeight="1">
      <c r="A208" s="29" t="n"/>
      <c r="B208" s="14" t="n"/>
      <c r="C208" s="22" t="n"/>
      <c r="D208" s="24" t="n"/>
      <c r="E208" s="31">
        <f>IF(B208="","",COUNTIF($V$10:V208,B208))</f>
        <v/>
      </c>
      <c r="F208" s="41">
        <f>IF(V208="","",IF(E208&gt;=IF(N($C$5)&gt;0,$C$5,3),"Revient : appeler",IF(E208&gt;=2,"Déjà dans la liste","")))</f>
        <v/>
      </c>
      <c r="G208" s="14" t="n"/>
      <c r="H208" s="14" t="n"/>
      <c r="I208" s="14" t="n"/>
      <c r="V208" s="9">
        <f>IF(B208="","",IF(COUNTIF(B205:B208,B208)=1,B208,""))</f>
        <v/>
      </c>
    </row>
    <row r="209" ht="15" customHeight="1">
      <c r="A209" s="29" t="n"/>
      <c r="B209" s="14" t="n"/>
      <c r="C209" s="22" t="n"/>
      <c r="D209" s="24" t="n"/>
      <c r="E209" s="31">
        <f>IF(B209="","",COUNTIF($V$10:V209,B209))</f>
        <v/>
      </c>
      <c r="F209" s="41">
        <f>IF(V209="","",IF(E209&gt;=IF(N($C$5)&gt;0,$C$5,3),"Revient : appeler",IF(E209&gt;=2,"Déjà dans la liste","")))</f>
        <v/>
      </c>
      <c r="G209" s="14" t="n"/>
      <c r="H209" s="14" t="n"/>
      <c r="I209" s="14" t="n"/>
      <c r="V209" s="9">
        <f>IF(B209="","",IF(COUNTIF(B205:B209,B209)=1,B209,""))</f>
        <v/>
      </c>
    </row>
    <row r="210" ht="15" customHeight="1">
      <c r="A210" s="35">
        <f>IF($C$4="","",$C$4+280)</f>
        <v/>
      </c>
      <c r="B210" s="36" t="n"/>
      <c r="C210" s="37" t="n"/>
      <c r="D210" s="38" t="n"/>
      <c r="E210" s="39">
        <f>IF(B210="","",COUNTIF($V$10:V210,B210))</f>
        <v/>
      </c>
      <c r="F210" s="40">
        <f>IF(V210="","",IF(E210&gt;=IF(N($C$5)&gt;0,$C$5,3),"Revient : appeler",IF(E210&gt;=2,"Déjà dans la liste","")))</f>
        <v/>
      </c>
      <c r="G210" s="36" t="n"/>
      <c r="H210" s="36" t="n"/>
      <c r="I210" s="36" t="n"/>
      <c r="V210" s="9">
        <f>IF(B210="","",IF(COUNTIF(B210:B210,B210)=1,B210,""))</f>
        <v/>
      </c>
    </row>
    <row r="211" ht="15" customHeight="1">
      <c r="A211" s="29" t="n"/>
      <c r="B211" s="14" t="n"/>
      <c r="C211" s="22" t="n"/>
      <c r="D211" s="24" t="n"/>
      <c r="E211" s="31">
        <f>IF(B211="","",COUNTIF($V$10:V211,B211))</f>
        <v/>
      </c>
      <c r="F211" s="41">
        <f>IF(V211="","",IF(E211&gt;=IF(N($C$5)&gt;0,$C$5,3),"Revient : appeler",IF(E211&gt;=2,"Déjà dans la liste","")))</f>
        <v/>
      </c>
      <c r="G211" s="14" t="n"/>
      <c r="H211" s="14" t="n"/>
      <c r="I211" s="14" t="n"/>
      <c r="V211" s="9">
        <f>IF(B211="","",IF(COUNTIF(B210:B211,B211)=1,B211,""))</f>
        <v/>
      </c>
    </row>
    <row r="212" ht="15" customHeight="1">
      <c r="A212" s="29" t="n"/>
      <c r="B212" s="14" t="n"/>
      <c r="C212" s="22" t="n"/>
      <c r="D212" s="24" t="n"/>
      <c r="E212" s="31">
        <f>IF(B212="","",COUNTIF($V$10:V212,B212))</f>
        <v/>
      </c>
      <c r="F212" s="41">
        <f>IF(V212="","",IF(E212&gt;=IF(N($C$5)&gt;0,$C$5,3),"Revient : appeler",IF(E212&gt;=2,"Déjà dans la liste","")))</f>
        <v/>
      </c>
      <c r="G212" s="14" t="n"/>
      <c r="H212" s="14" t="n"/>
      <c r="I212" s="14" t="n"/>
      <c r="V212" s="9">
        <f>IF(B212="","",IF(COUNTIF(B210:B212,B212)=1,B212,""))</f>
        <v/>
      </c>
    </row>
    <row r="213" ht="15" customHeight="1">
      <c r="A213" s="29" t="n"/>
      <c r="B213" s="14" t="n"/>
      <c r="C213" s="22" t="n"/>
      <c r="D213" s="24" t="n"/>
      <c r="E213" s="31">
        <f>IF(B213="","",COUNTIF($V$10:V213,B213))</f>
        <v/>
      </c>
      <c r="F213" s="41">
        <f>IF(V213="","",IF(E213&gt;=IF(N($C$5)&gt;0,$C$5,3),"Revient : appeler",IF(E213&gt;=2,"Déjà dans la liste","")))</f>
        <v/>
      </c>
      <c r="G213" s="14" t="n"/>
      <c r="H213" s="14" t="n"/>
      <c r="I213" s="14" t="n"/>
      <c r="V213" s="9">
        <f>IF(B213="","",IF(COUNTIF(B210:B213,B213)=1,B213,""))</f>
        <v/>
      </c>
    </row>
    <row r="214" ht="15" customHeight="1">
      <c r="A214" s="29" t="n"/>
      <c r="B214" s="14" t="n"/>
      <c r="C214" s="22" t="n"/>
      <c r="D214" s="24" t="n"/>
      <c r="E214" s="31">
        <f>IF(B214="","",COUNTIF($V$10:V214,B214))</f>
        <v/>
      </c>
      <c r="F214" s="41">
        <f>IF(V214="","",IF(E214&gt;=IF(N($C$5)&gt;0,$C$5,3),"Revient : appeler",IF(E214&gt;=2,"Déjà dans la liste","")))</f>
        <v/>
      </c>
      <c r="G214" s="14" t="n"/>
      <c r="H214" s="14" t="n"/>
      <c r="I214" s="14" t="n"/>
      <c r="V214" s="9">
        <f>IF(B214="","",IF(COUNTIF(B210:B214,B214)=1,B214,""))</f>
        <v/>
      </c>
    </row>
    <row r="215" ht="15" customHeight="1">
      <c r="A215" s="35">
        <f>IF($C$4="","",$C$4+287)</f>
        <v/>
      </c>
      <c r="B215" s="36" t="n"/>
      <c r="C215" s="37" t="n"/>
      <c r="D215" s="38" t="n"/>
      <c r="E215" s="39">
        <f>IF(B215="","",COUNTIF($V$10:V215,B215))</f>
        <v/>
      </c>
      <c r="F215" s="40">
        <f>IF(V215="","",IF(E215&gt;=IF(N($C$5)&gt;0,$C$5,3),"Revient : appeler",IF(E215&gt;=2,"Déjà dans la liste","")))</f>
        <v/>
      </c>
      <c r="G215" s="36" t="n"/>
      <c r="H215" s="36" t="n"/>
      <c r="I215" s="36" t="n"/>
      <c r="V215" s="9">
        <f>IF(B215="","",IF(COUNTIF(B215:B215,B215)=1,B215,""))</f>
        <v/>
      </c>
    </row>
    <row r="216" ht="15" customHeight="1">
      <c r="A216" s="29" t="n"/>
      <c r="B216" s="14" t="n"/>
      <c r="C216" s="22" t="n"/>
      <c r="D216" s="24" t="n"/>
      <c r="E216" s="31">
        <f>IF(B216="","",COUNTIF($V$10:V216,B216))</f>
        <v/>
      </c>
      <c r="F216" s="41">
        <f>IF(V216="","",IF(E216&gt;=IF(N($C$5)&gt;0,$C$5,3),"Revient : appeler",IF(E216&gt;=2,"Déjà dans la liste","")))</f>
        <v/>
      </c>
      <c r="G216" s="14" t="n"/>
      <c r="H216" s="14" t="n"/>
      <c r="I216" s="14" t="n"/>
      <c r="V216" s="9">
        <f>IF(B216="","",IF(COUNTIF(B215:B216,B216)=1,B216,""))</f>
        <v/>
      </c>
    </row>
    <row r="217" ht="15" customHeight="1">
      <c r="A217" s="29" t="n"/>
      <c r="B217" s="14" t="n"/>
      <c r="C217" s="22" t="n"/>
      <c r="D217" s="24" t="n"/>
      <c r="E217" s="31">
        <f>IF(B217="","",COUNTIF($V$10:V217,B217))</f>
        <v/>
      </c>
      <c r="F217" s="41">
        <f>IF(V217="","",IF(E217&gt;=IF(N($C$5)&gt;0,$C$5,3),"Revient : appeler",IF(E217&gt;=2,"Déjà dans la liste","")))</f>
        <v/>
      </c>
      <c r="G217" s="14" t="n"/>
      <c r="H217" s="14" t="n"/>
      <c r="I217" s="14" t="n"/>
      <c r="V217" s="9">
        <f>IF(B217="","",IF(COUNTIF(B215:B217,B217)=1,B217,""))</f>
        <v/>
      </c>
    </row>
    <row r="218" ht="15" customHeight="1">
      <c r="A218" s="29" t="n"/>
      <c r="B218" s="14" t="n"/>
      <c r="C218" s="22" t="n"/>
      <c r="D218" s="24" t="n"/>
      <c r="E218" s="31">
        <f>IF(B218="","",COUNTIF($V$10:V218,B218))</f>
        <v/>
      </c>
      <c r="F218" s="41">
        <f>IF(V218="","",IF(E218&gt;=IF(N($C$5)&gt;0,$C$5,3),"Revient : appeler",IF(E218&gt;=2,"Déjà dans la liste","")))</f>
        <v/>
      </c>
      <c r="G218" s="14" t="n"/>
      <c r="H218" s="14" t="n"/>
      <c r="I218" s="14" t="n"/>
      <c r="V218" s="9">
        <f>IF(B218="","",IF(COUNTIF(B215:B218,B218)=1,B218,""))</f>
        <v/>
      </c>
    </row>
    <row r="219" ht="15" customHeight="1">
      <c r="A219" s="29" t="n"/>
      <c r="B219" s="14" t="n"/>
      <c r="C219" s="22" t="n"/>
      <c r="D219" s="24" t="n"/>
      <c r="E219" s="31">
        <f>IF(B219="","",COUNTIF($V$10:V219,B219))</f>
        <v/>
      </c>
      <c r="F219" s="41">
        <f>IF(V219="","",IF(E219&gt;=IF(N($C$5)&gt;0,$C$5,3),"Revient : appeler",IF(E219&gt;=2,"Déjà dans la liste","")))</f>
        <v/>
      </c>
      <c r="G219" s="14" t="n"/>
      <c r="H219" s="14" t="n"/>
      <c r="I219" s="14" t="n"/>
      <c r="V219" s="9">
        <f>IF(B219="","",IF(COUNTIF(B215:B219,B219)=1,B219,""))</f>
        <v/>
      </c>
    </row>
    <row r="220" ht="15" customHeight="1">
      <c r="A220" s="35">
        <f>IF($C$4="","",$C$4+294)</f>
        <v/>
      </c>
      <c r="B220" s="36" t="n"/>
      <c r="C220" s="37" t="n"/>
      <c r="D220" s="38" t="n"/>
      <c r="E220" s="39">
        <f>IF(B220="","",COUNTIF($V$10:V220,B220))</f>
        <v/>
      </c>
      <c r="F220" s="40">
        <f>IF(V220="","",IF(E220&gt;=IF(N($C$5)&gt;0,$C$5,3),"Revient : appeler",IF(E220&gt;=2,"Déjà dans la liste","")))</f>
        <v/>
      </c>
      <c r="G220" s="36" t="n"/>
      <c r="H220" s="36" t="n"/>
      <c r="I220" s="36" t="n"/>
      <c r="V220" s="9">
        <f>IF(B220="","",IF(COUNTIF(B220:B220,B220)=1,B220,""))</f>
        <v/>
      </c>
    </row>
    <row r="221" ht="15" customHeight="1">
      <c r="A221" s="29" t="n"/>
      <c r="B221" s="14" t="n"/>
      <c r="C221" s="22" t="n"/>
      <c r="D221" s="24" t="n"/>
      <c r="E221" s="31">
        <f>IF(B221="","",COUNTIF($V$10:V221,B221))</f>
        <v/>
      </c>
      <c r="F221" s="41">
        <f>IF(V221="","",IF(E221&gt;=IF(N($C$5)&gt;0,$C$5,3),"Revient : appeler",IF(E221&gt;=2,"Déjà dans la liste","")))</f>
        <v/>
      </c>
      <c r="G221" s="14" t="n"/>
      <c r="H221" s="14" t="n"/>
      <c r="I221" s="14" t="n"/>
      <c r="V221" s="9">
        <f>IF(B221="","",IF(COUNTIF(B220:B221,B221)=1,B221,""))</f>
        <v/>
      </c>
    </row>
    <row r="222" ht="15" customHeight="1">
      <c r="A222" s="29" t="n"/>
      <c r="B222" s="14" t="n"/>
      <c r="C222" s="22" t="n"/>
      <c r="D222" s="24" t="n"/>
      <c r="E222" s="31">
        <f>IF(B222="","",COUNTIF($V$10:V222,B222))</f>
        <v/>
      </c>
      <c r="F222" s="41">
        <f>IF(V222="","",IF(E222&gt;=IF(N($C$5)&gt;0,$C$5,3),"Revient : appeler",IF(E222&gt;=2,"Déjà dans la liste","")))</f>
        <v/>
      </c>
      <c r="G222" s="14" t="n"/>
      <c r="H222" s="14" t="n"/>
      <c r="I222" s="14" t="n"/>
      <c r="V222" s="9">
        <f>IF(B222="","",IF(COUNTIF(B220:B222,B222)=1,B222,""))</f>
        <v/>
      </c>
    </row>
    <row r="223" ht="15" customHeight="1">
      <c r="A223" s="29" t="n"/>
      <c r="B223" s="14" t="n"/>
      <c r="C223" s="22" t="n"/>
      <c r="D223" s="24" t="n"/>
      <c r="E223" s="31">
        <f>IF(B223="","",COUNTIF($V$10:V223,B223))</f>
        <v/>
      </c>
      <c r="F223" s="41">
        <f>IF(V223="","",IF(E223&gt;=IF(N($C$5)&gt;0,$C$5,3),"Revient : appeler",IF(E223&gt;=2,"Déjà dans la liste","")))</f>
        <v/>
      </c>
      <c r="G223" s="14" t="n"/>
      <c r="H223" s="14" t="n"/>
      <c r="I223" s="14" t="n"/>
      <c r="V223" s="9">
        <f>IF(B223="","",IF(COUNTIF(B220:B223,B223)=1,B223,""))</f>
        <v/>
      </c>
    </row>
    <row r="224" ht="15" customHeight="1">
      <c r="A224" s="29" t="n"/>
      <c r="B224" s="14" t="n"/>
      <c r="C224" s="22" t="n"/>
      <c r="D224" s="24" t="n"/>
      <c r="E224" s="31">
        <f>IF(B224="","",COUNTIF($V$10:V224,B224))</f>
        <v/>
      </c>
      <c r="F224" s="41">
        <f>IF(V224="","",IF(E224&gt;=IF(N($C$5)&gt;0,$C$5,3),"Revient : appeler",IF(E224&gt;=2,"Déjà dans la liste","")))</f>
        <v/>
      </c>
      <c r="G224" s="14" t="n"/>
      <c r="H224" s="14" t="n"/>
      <c r="I224" s="14" t="n"/>
      <c r="V224" s="9">
        <f>IF(B224="","",IF(COUNTIF(B220:B224,B224)=1,B224,""))</f>
        <v/>
      </c>
    </row>
    <row r="225" ht="15" customHeight="1">
      <c r="A225" s="35">
        <f>IF($C$4="","",$C$4+301)</f>
        <v/>
      </c>
      <c r="B225" s="36" t="n"/>
      <c r="C225" s="37" t="n"/>
      <c r="D225" s="38" t="n"/>
      <c r="E225" s="39">
        <f>IF(B225="","",COUNTIF($V$10:V225,B225))</f>
        <v/>
      </c>
      <c r="F225" s="40">
        <f>IF(V225="","",IF(E225&gt;=IF(N($C$5)&gt;0,$C$5,3),"Revient : appeler",IF(E225&gt;=2,"Déjà dans la liste","")))</f>
        <v/>
      </c>
      <c r="G225" s="36" t="n"/>
      <c r="H225" s="36" t="n"/>
      <c r="I225" s="36" t="n"/>
      <c r="V225" s="9">
        <f>IF(B225="","",IF(COUNTIF(B225:B225,B225)=1,B225,""))</f>
        <v/>
      </c>
    </row>
    <row r="226" ht="15" customHeight="1">
      <c r="A226" s="29" t="n"/>
      <c r="B226" s="14" t="n"/>
      <c r="C226" s="22" t="n"/>
      <c r="D226" s="24" t="n"/>
      <c r="E226" s="31">
        <f>IF(B226="","",COUNTIF($V$10:V226,B226))</f>
        <v/>
      </c>
      <c r="F226" s="41">
        <f>IF(V226="","",IF(E226&gt;=IF(N($C$5)&gt;0,$C$5,3),"Revient : appeler",IF(E226&gt;=2,"Déjà dans la liste","")))</f>
        <v/>
      </c>
      <c r="G226" s="14" t="n"/>
      <c r="H226" s="14" t="n"/>
      <c r="I226" s="14" t="n"/>
      <c r="V226" s="9">
        <f>IF(B226="","",IF(COUNTIF(B225:B226,B226)=1,B226,""))</f>
        <v/>
      </c>
    </row>
    <row r="227" ht="15" customHeight="1">
      <c r="A227" s="29" t="n"/>
      <c r="B227" s="14" t="n"/>
      <c r="C227" s="22" t="n"/>
      <c r="D227" s="24" t="n"/>
      <c r="E227" s="31">
        <f>IF(B227="","",COUNTIF($V$10:V227,B227))</f>
        <v/>
      </c>
      <c r="F227" s="41">
        <f>IF(V227="","",IF(E227&gt;=IF(N($C$5)&gt;0,$C$5,3),"Revient : appeler",IF(E227&gt;=2,"Déjà dans la liste","")))</f>
        <v/>
      </c>
      <c r="G227" s="14" t="n"/>
      <c r="H227" s="14" t="n"/>
      <c r="I227" s="14" t="n"/>
      <c r="V227" s="9">
        <f>IF(B227="","",IF(COUNTIF(B225:B227,B227)=1,B227,""))</f>
        <v/>
      </c>
    </row>
    <row r="228" ht="15" customHeight="1">
      <c r="A228" s="29" t="n"/>
      <c r="B228" s="14" t="n"/>
      <c r="C228" s="22" t="n"/>
      <c r="D228" s="24" t="n"/>
      <c r="E228" s="31">
        <f>IF(B228="","",COUNTIF($V$10:V228,B228))</f>
        <v/>
      </c>
      <c r="F228" s="41">
        <f>IF(V228="","",IF(E228&gt;=IF(N($C$5)&gt;0,$C$5,3),"Revient : appeler",IF(E228&gt;=2,"Déjà dans la liste","")))</f>
        <v/>
      </c>
      <c r="G228" s="14" t="n"/>
      <c r="H228" s="14" t="n"/>
      <c r="I228" s="14" t="n"/>
      <c r="V228" s="9">
        <f>IF(B228="","",IF(COUNTIF(B225:B228,B228)=1,B228,""))</f>
        <v/>
      </c>
    </row>
    <row r="229" ht="15" customHeight="1">
      <c r="A229" s="29" t="n"/>
      <c r="B229" s="14" t="n"/>
      <c r="C229" s="22" t="n"/>
      <c r="D229" s="24" t="n"/>
      <c r="E229" s="31">
        <f>IF(B229="","",COUNTIF($V$10:V229,B229))</f>
        <v/>
      </c>
      <c r="F229" s="41">
        <f>IF(V229="","",IF(E229&gt;=IF(N($C$5)&gt;0,$C$5,3),"Revient : appeler",IF(E229&gt;=2,"Déjà dans la liste","")))</f>
        <v/>
      </c>
      <c r="G229" s="14" t="n"/>
      <c r="H229" s="14" t="n"/>
      <c r="I229" s="14" t="n"/>
      <c r="V229" s="9">
        <f>IF(B229="","",IF(COUNTIF(B225:B229,B229)=1,B229,""))</f>
        <v/>
      </c>
    </row>
    <row r="230" ht="15" customHeight="1">
      <c r="A230" s="35">
        <f>IF($C$4="","",$C$4+308)</f>
        <v/>
      </c>
      <c r="B230" s="36" t="n"/>
      <c r="C230" s="37" t="n"/>
      <c r="D230" s="38" t="n"/>
      <c r="E230" s="39">
        <f>IF(B230="","",COUNTIF($V$10:V230,B230))</f>
        <v/>
      </c>
      <c r="F230" s="40">
        <f>IF(V230="","",IF(E230&gt;=IF(N($C$5)&gt;0,$C$5,3),"Revient : appeler",IF(E230&gt;=2,"Déjà dans la liste","")))</f>
        <v/>
      </c>
      <c r="G230" s="36" t="n"/>
      <c r="H230" s="36" t="n"/>
      <c r="I230" s="36" t="n"/>
      <c r="V230" s="9">
        <f>IF(B230="","",IF(COUNTIF(B230:B230,B230)=1,B230,""))</f>
        <v/>
      </c>
    </row>
    <row r="231" ht="15" customHeight="1">
      <c r="A231" s="29" t="n"/>
      <c r="B231" s="14" t="n"/>
      <c r="C231" s="22" t="n"/>
      <c r="D231" s="24" t="n"/>
      <c r="E231" s="31">
        <f>IF(B231="","",COUNTIF($V$10:V231,B231))</f>
        <v/>
      </c>
      <c r="F231" s="41">
        <f>IF(V231="","",IF(E231&gt;=IF(N($C$5)&gt;0,$C$5,3),"Revient : appeler",IF(E231&gt;=2,"Déjà dans la liste","")))</f>
        <v/>
      </c>
      <c r="G231" s="14" t="n"/>
      <c r="H231" s="14" t="n"/>
      <c r="I231" s="14" t="n"/>
      <c r="V231" s="9">
        <f>IF(B231="","",IF(COUNTIF(B230:B231,B231)=1,B231,""))</f>
        <v/>
      </c>
    </row>
    <row r="232" ht="15" customHeight="1">
      <c r="A232" s="29" t="n"/>
      <c r="B232" s="14" t="n"/>
      <c r="C232" s="22" t="n"/>
      <c r="D232" s="24" t="n"/>
      <c r="E232" s="31">
        <f>IF(B232="","",COUNTIF($V$10:V232,B232))</f>
        <v/>
      </c>
      <c r="F232" s="41">
        <f>IF(V232="","",IF(E232&gt;=IF(N($C$5)&gt;0,$C$5,3),"Revient : appeler",IF(E232&gt;=2,"Déjà dans la liste","")))</f>
        <v/>
      </c>
      <c r="G232" s="14" t="n"/>
      <c r="H232" s="14" t="n"/>
      <c r="I232" s="14" t="n"/>
      <c r="V232" s="9">
        <f>IF(B232="","",IF(COUNTIF(B230:B232,B232)=1,B232,""))</f>
        <v/>
      </c>
    </row>
    <row r="233" ht="15" customHeight="1">
      <c r="A233" s="29" t="n"/>
      <c r="B233" s="14" t="n"/>
      <c r="C233" s="22" t="n"/>
      <c r="D233" s="24" t="n"/>
      <c r="E233" s="31">
        <f>IF(B233="","",COUNTIF($V$10:V233,B233))</f>
        <v/>
      </c>
      <c r="F233" s="41">
        <f>IF(V233="","",IF(E233&gt;=IF(N($C$5)&gt;0,$C$5,3),"Revient : appeler",IF(E233&gt;=2,"Déjà dans la liste","")))</f>
        <v/>
      </c>
      <c r="G233" s="14" t="n"/>
      <c r="H233" s="14" t="n"/>
      <c r="I233" s="14" t="n"/>
      <c r="V233" s="9">
        <f>IF(B233="","",IF(COUNTIF(B230:B233,B233)=1,B233,""))</f>
        <v/>
      </c>
    </row>
    <row r="234" ht="15" customHeight="1">
      <c r="A234" s="29" t="n"/>
      <c r="B234" s="14" t="n"/>
      <c r="C234" s="22" t="n"/>
      <c r="D234" s="24" t="n"/>
      <c r="E234" s="31">
        <f>IF(B234="","",COUNTIF($V$10:V234,B234))</f>
        <v/>
      </c>
      <c r="F234" s="41">
        <f>IF(V234="","",IF(E234&gt;=IF(N($C$5)&gt;0,$C$5,3),"Revient : appeler",IF(E234&gt;=2,"Déjà dans la liste","")))</f>
        <v/>
      </c>
      <c r="G234" s="14" t="n"/>
      <c r="H234" s="14" t="n"/>
      <c r="I234" s="14" t="n"/>
      <c r="V234" s="9">
        <f>IF(B234="","",IF(COUNTIF(B230:B234,B234)=1,B234,""))</f>
        <v/>
      </c>
    </row>
    <row r="235" ht="15" customHeight="1">
      <c r="A235" s="35">
        <f>IF($C$4="","",$C$4+315)</f>
        <v/>
      </c>
      <c r="B235" s="36" t="n"/>
      <c r="C235" s="37" t="n"/>
      <c r="D235" s="38" t="n"/>
      <c r="E235" s="39">
        <f>IF(B235="","",COUNTIF($V$10:V235,B235))</f>
        <v/>
      </c>
      <c r="F235" s="40">
        <f>IF(V235="","",IF(E235&gt;=IF(N($C$5)&gt;0,$C$5,3),"Revient : appeler",IF(E235&gt;=2,"Déjà dans la liste","")))</f>
        <v/>
      </c>
      <c r="G235" s="36" t="n"/>
      <c r="H235" s="36" t="n"/>
      <c r="I235" s="36" t="n"/>
      <c r="V235" s="9">
        <f>IF(B235="","",IF(COUNTIF(B235:B235,B235)=1,B235,""))</f>
        <v/>
      </c>
    </row>
    <row r="236" ht="15" customHeight="1">
      <c r="A236" s="29" t="n"/>
      <c r="B236" s="14" t="n"/>
      <c r="C236" s="22" t="n"/>
      <c r="D236" s="24" t="n"/>
      <c r="E236" s="31">
        <f>IF(B236="","",COUNTIF($V$10:V236,B236))</f>
        <v/>
      </c>
      <c r="F236" s="41">
        <f>IF(V236="","",IF(E236&gt;=IF(N($C$5)&gt;0,$C$5,3),"Revient : appeler",IF(E236&gt;=2,"Déjà dans la liste","")))</f>
        <v/>
      </c>
      <c r="G236" s="14" t="n"/>
      <c r="H236" s="14" t="n"/>
      <c r="I236" s="14" t="n"/>
      <c r="V236" s="9">
        <f>IF(B236="","",IF(COUNTIF(B235:B236,B236)=1,B236,""))</f>
        <v/>
      </c>
    </row>
    <row r="237" ht="15" customHeight="1">
      <c r="A237" s="29" t="n"/>
      <c r="B237" s="14" t="n"/>
      <c r="C237" s="22" t="n"/>
      <c r="D237" s="24" t="n"/>
      <c r="E237" s="31">
        <f>IF(B237="","",COUNTIF($V$10:V237,B237))</f>
        <v/>
      </c>
      <c r="F237" s="41">
        <f>IF(V237="","",IF(E237&gt;=IF(N($C$5)&gt;0,$C$5,3),"Revient : appeler",IF(E237&gt;=2,"Déjà dans la liste","")))</f>
        <v/>
      </c>
      <c r="G237" s="14" t="n"/>
      <c r="H237" s="14" t="n"/>
      <c r="I237" s="14" t="n"/>
      <c r="V237" s="9">
        <f>IF(B237="","",IF(COUNTIF(B235:B237,B237)=1,B237,""))</f>
        <v/>
      </c>
    </row>
    <row r="238" ht="15" customHeight="1">
      <c r="A238" s="29" t="n"/>
      <c r="B238" s="14" t="n"/>
      <c r="C238" s="22" t="n"/>
      <c r="D238" s="24" t="n"/>
      <c r="E238" s="31">
        <f>IF(B238="","",COUNTIF($V$10:V238,B238))</f>
        <v/>
      </c>
      <c r="F238" s="41">
        <f>IF(V238="","",IF(E238&gt;=IF(N($C$5)&gt;0,$C$5,3),"Revient : appeler",IF(E238&gt;=2,"Déjà dans la liste","")))</f>
        <v/>
      </c>
      <c r="G238" s="14" t="n"/>
      <c r="H238" s="14" t="n"/>
      <c r="I238" s="14" t="n"/>
      <c r="V238" s="9">
        <f>IF(B238="","",IF(COUNTIF(B235:B238,B238)=1,B238,""))</f>
        <v/>
      </c>
    </row>
    <row r="239" ht="15" customHeight="1">
      <c r="A239" s="29" t="n"/>
      <c r="B239" s="14" t="n"/>
      <c r="C239" s="22" t="n"/>
      <c r="D239" s="24" t="n"/>
      <c r="E239" s="31">
        <f>IF(B239="","",COUNTIF($V$10:V239,B239))</f>
        <v/>
      </c>
      <c r="F239" s="41">
        <f>IF(V239="","",IF(E239&gt;=IF(N($C$5)&gt;0,$C$5,3),"Revient : appeler",IF(E239&gt;=2,"Déjà dans la liste","")))</f>
        <v/>
      </c>
      <c r="G239" s="14" t="n"/>
      <c r="H239" s="14" t="n"/>
      <c r="I239" s="14" t="n"/>
      <c r="V239" s="9">
        <f>IF(B239="","",IF(COUNTIF(B235:B239,B239)=1,B239,""))</f>
        <v/>
      </c>
    </row>
    <row r="240" ht="15" customHeight="1">
      <c r="A240" s="35">
        <f>IF($C$4="","",$C$4+322)</f>
        <v/>
      </c>
      <c r="B240" s="36" t="n"/>
      <c r="C240" s="37" t="n"/>
      <c r="D240" s="38" t="n"/>
      <c r="E240" s="39">
        <f>IF(B240="","",COUNTIF($V$10:V240,B240))</f>
        <v/>
      </c>
      <c r="F240" s="40">
        <f>IF(V240="","",IF(E240&gt;=IF(N($C$5)&gt;0,$C$5,3),"Revient : appeler",IF(E240&gt;=2,"Déjà dans la liste","")))</f>
        <v/>
      </c>
      <c r="G240" s="36" t="n"/>
      <c r="H240" s="36" t="n"/>
      <c r="I240" s="36" t="n"/>
      <c r="V240" s="9">
        <f>IF(B240="","",IF(COUNTIF(B240:B240,B240)=1,B240,""))</f>
        <v/>
      </c>
    </row>
    <row r="241" ht="15" customHeight="1">
      <c r="A241" s="29" t="n"/>
      <c r="B241" s="14" t="n"/>
      <c r="C241" s="22" t="n"/>
      <c r="D241" s="24" t="n"/>
      <c r="E241" s="31">
        <f>IF(B241="","",COUNTIF($V$10:V241,B241))</f>
        <v/>
      </c>
      <c r="F241" s="41">
        <f>IF(V241="","",IF(E241&gt;=IF(N($C$5)&gt;0,$C$5,3),"Revient : appeler",IF(E241&gt;=2,"Déjà dans la liste","")))</f>
        <v/>
      </c>
      <c r="G241" s="14" t="n"/>
      <c r="H241" s="14" t="n"/>
      <c r="I241" s="14" t="n"/>
      <c r="V241" s="9">
        <f>IF(B241="","",IF(COUNTIF(B240:B241,B241)=1,B241,""))</f>
        <v/>
      </c>
    </row>
    <row r="242" ht="15" customHeight="1">
      <c r="A242" s="29" t="n"/>
      <c r="B242" s="14" t="n"/>
      <c r="C242" s="22" t="n"/>
      <c r="D242" s="24" t="n"/>
      <c r="E242" s="31">
        <f>IF(B242="","",COUNTIF($V$10:V242,B242))</f>
        <v/>
      </c>
      <c r="F242" s="41">
        <f>IF(V242="","",IF(E242&gt;=IF(N($C$5)&gt;0,$C$5,3),"Revient : appeler",IF(E242&gt;=2,"Déjà dans la liste","")))</f>
        <v/>
      </c>
      <c r="G242" s="14" t="n"/>
      <c r="H242" s="14" t="n"/>
      <c r="I242" s="14" t="n"/>
      <c r="V242" s="9">
        <f>IF(B242="","",IF(COUNTIF(B240:B242,B242)=1,B242,""))</f>
        <v/>
      </c>
    </row>
    <row r="243" ht="15" customHeight="1">
      <c r="A243" s="29" t="n"/>
      <c r="B243" s="14" t="n"/>
      <c r="C243" s="22" t="n"/>
      <c r="D243" s="24" t="n"/>
      <c r="E243" s="31">
        <f>IF(B243="","",COUNTIF($V$10:V243,B243))</f>
        <v/>
      </c>
      <c r="F243" s="41">
        <f>IF(V243="","",IF(E243&gt;=IF(N($C$5)&gt;0,$C$5,3),"Revient : appeler",IF(E243&gt;=2,"Déjà dans la liste","")))</f>
        <v/>
      </c>
      <c r="G243" s="14" t="n"/>
      <c r="H243" s="14" t="n"/>
      <c r="I243" s="14" t="n"/>
      <c r="V243" s="9">
        <f>IF(B243="","",IF(COUNTIF(B240:B243,B243)=1,B243,""))</f>
        <v/>
      </c>
    </row>
    <row r="244" ht="15" customHeight="1">
      <c r="A244" s="29" t="n"/>
      <c r="B244" s="14" t="n"/>
      <c r="C244" s="22" t="n"/>
      <c r="D244" s="24" t="n"/>
      <c r="E244" s="31">
        <f>IF(B244="","",COUNTIF($V$10:V244,B244))</f>
        <v/>
      </c>
      <c r="F244" s="41">
        <f>IF(V244="","",IF(E244&gt;=IF(N($C$5)&gt;0,$C$5,3),"Revient : appeler",IF(E244&gt;=2,"Déjà dans la liste","")))</f>
        <v/>
      </c>
      <c r="G244" s="14" t="n"/>
      <c r="H244" s="14" t="n"/>
      <c r="I244" s="14" t="n"/>
      <c r="V244" s="9">
        <f>IF(B244="","",IF(COUNTIF(B240:B244,B244)=1,B244,""))</f>
        <v/>
      </c>
    </row>
    <row r="245" ht="15" customHeight="1">
      <c r="A245" s="35">
        <f>IF($C$4="","",$C$4+329)</f>
        <v/>
      </c>
      <c r="B245" s="36" t="n"/>
      <c r="C245" s="37" t="n"/>
      <c r="D245" s="38" t="n"/>
      <c r="E245" s="39">
        <f>IF(B245="","",COUNTIF($V$10:V245,B245))</f>
        <v/>
      </c>
      <c r="F245" s="40">
        <f>IF(V245="","",IF(E245&gt;=IF(N($C$5)&gt;0,$C$5,3),"Revient : appeler",IF(E245&gt;=2,"Déjà dans la liste","")))</f>
        <v/>
      </c>
      <c r="G245" s="36" t="n"/>
      <c r="H245" s="36" t="n"/>
      <c r="I245" s="36" t="n"/>
      <c r="V245" s="9">
        <f>IF(B245="","",IF(COUNTIF(B245:B245,B245)=1,B245,""))</f>
        <v/>
      </c>
    </row>
    <row r="246" ht="15" customHeight="1">
      <c r="A246" s="29" t="n"/>
      <c r="B246" s="14" t="n"/>
      <c r="C246" s="22" t="n"/>
      <c r="D246" s="24" t="n"/>
      <c r="E246" s="31">
        <f>IF(B246="","",COUNTIF($V$10:V246,B246))</f>
        <v/>
      </c>
      <c r="F246" s="41">
        <f>IF(V246="","",IF(E246&gt;=IF(N($C$5)&gt;0,$C$5,3),"Revient : appeler",IF(E246&gt;=2,"Déjà dans la liste","")))</f>
        <v/>
      </c>
      <c r="G246" s="14" t="n"/>
      <c r="H246" s="14" t="n"/>
      <c r="I246" s="14" t="n"/>
      <c r="V246" s="9">
        <f>IF(B246="","",IF(COUNTIF(B245:B246,B246)=1,B246,""))</f>
        <v/>
      </c>
    </row>
    <row r="247" ht="15" customHeight="1">
      <c r="A247" s="29" t="n"/>
      <c r="B247" s="14" t="n"/>
      <c r="C247" s="22" t="n"/>
      <c r="D247" s="24" t="n"/>
      <c r="E247" s="31">
        <f>IF(B247="","",COUNTIF($V$10:V247,B247))</f>
        <v/>
      </c>
      <c r="F247" s="41">
        <f>IF(V247="","",IF(E247&gt;=IF(N($C$5)&gt;0,$C$5,3),"Revient : appeler",IF(E247&gt;=2,"Déjà dans la liste","")))</f>
        <v/>
      </c>
      <c r="G247" s="14" t="n"/>
      <c r="H247" s="14" t="n"/>
      <c r="I247" s="14" t="n"/>
      <c r="V247" s="9">
        <f>IF(B247="","",IF(COUNTIF(B245:B247,B247)=1,B247,""))</f>
        <v/>
      </c>
    </row>
    <row r="248" ht="15" customHeight="1">
      <c r="A248" s="29" t="n"/>
      <c r="B248" s="14" t="n"/>
      <c r="C248" s="22" t="n"/>
      <c r="D248" s="24" t="n"/>
      <c r="E248" s="31">
        <f>IF(B248="","",COUNTIF($V$10:V248,B248))</f>
        <v/>
      </c>
      <c r="F248" s="41">
        <f>IF(V248="","",IF(E248&gt;=IF(N($C$5)&gt;0,$C$5,3),"Revient : appeler",IF(E248&gt;=2,"Déjà dans la liste","")))</f>
        <v/>
      </c>
      <c r="G248" s="14" t="n"/>
      <c r="H248" s="14" t="n"/>
      <c r="I248" s="14" t="n"/>
      <c r="V248" s="9">
        <f>IF(B248="","",IF(COUNTIF(B245:B248,B248)=1,B248,""))</f>
        <v/>
      </c>
    </row>
    <row r="249" ht="15" customHeight="1">
      <c r="A249" s="29" t="n"/>
      <c r="B249" s="14" t="n"/>
      <c r="C249" s="22" t="n"/>
      <c r="D249" s="24" t="n"/>
      <c r="E249" s="31">
        <f>IF(B249="","",COUNTIF($V$10:V249,B249))</f>
        <v/>
      </c>
      <c r="F249" s="41">
        <f>IF(V249="","",IF(E249&gt;=IF(N($C$5)&gt;0,$C$5,3),"Revient : appeler",IF(E249&gt;=2,"Déjà dans la liste","")))</f>
        <v/>
      </c>
      <c r="G249" s="14" t="n"/>
      <c r="H249" s="14" t="n"/>
      <c r="I249" s="14" t="n"/>
      <c r="V249" s="9">
        <f>IF(B249="","",IF(COUNTIF(B245:B249,B249)=1,B249,""))</f>
        <v/>
      </c>
    </row>
    <row r="250" ht="15" customHeight="1">
      <c r="A250" s="35">
        <f>IF($C$4="","",$C$4+336)</f>
        <v/>
      </c>
      <c r="B250" s="36" t="n"/>
      <c r="C250" s="37" t="n"/>
      <c r="D250" s="38" t="n"/>
      <c r="E250" s="39">
        <f>IF(B250="","",COUNTIF($V$10:V250,B250))</f>
        <v/>
      </c>
      <c r="F250" s="40">
        <f>IF(V250="","",IF(E250&gt;=IF(N($C$5)&gt;0,$C$5,3),"Revient : appeler",IF(E250&gt;=2,"Déjà dans la liste","")))</f>
        <v/>
      </c>
      <c r="G250" s="36" t="n"/>
      <c r="H250" s="36" t="n"/>
      <c r="I250" s="36" t="n"/>
      <c r="V250" s="9">
        <f>IF(B250="","",IF(COUNTIF(B250:B250,B250)=1,B250,""))</f>
        <v/>
      </c>
    </row>
    <row r="251" ht="15" customHeight="1">
      <c r="A251" s="29" t="n"/>
      <c r="B251" s="14" t="n"/>
      <c r="C251" s="22" t="n"/>
      <c r="D251" s="24" t="n"/>
      <c r="E251" s="31">
        <f>IF(B251="","",COUNTIF($V$10:V251,B251))</f>
        <v/>
      </c>
      <c r="F251" s="41">
        <f>IF(V251="","",IF(E251&gt;=IF(N($C$5)&gt;0,$C$5,3),"Revient : appeler",IF(E251&gt;=2,"Déjà dans la liste","")))</f>
        <v/>
      </c>
      <c r="G251" s="14" t="n"/>
      <c r="H251" s="14" t="n"/>
      <c r="I251" s="14" t="n"/>
      <c r="V251" s="9">
        <f>IF(B251="","",IF(COUNTIF(B250:B251,B251)=1,B251,""))</f>
        <v/>
      </c>
    </row>
    <row r="252" ht="15" customHeight="1">
      <c r="A252" s="29" t="n"/>
      <c r="B252" s="14" t="n"/>
      <c r="C252" s="22" t="n"/>
      <c r="D252" s="24" t="n"/>
      <c r="E252" s="31">
        <f>IF(B252="","",COUNTIF($V$10:V252,B252))</f>
        <v/>
      </c>
      <c r="F252" s="41">
        <f>IF(V252="","",IF(E252&gt;=IF(N($C$5)&gt;0,$C$5,3),"Revient : appeler",IF(E252&gt;=2,"Déjà dans la liste","")))</f>
        <v/>
      </c>
      <c r="G252" s="14" t="n"/>
      <c r="H252" s="14" t="n"/>
      <c r="I252" s="14" t="n"/>
      <c r="V252" s="9">
        <f>IF(B252="","",IF(COUNTIF(B250:B252,B252)=1,B252,""))</f>
        <v/>
      </c>
    </row>
    <row r="253" ht="15" customHeight="1">
      <c r="A253" s="29" t="n"/>
      <c r="B253" s="14" t="n"/>
      <c r="C253" s="22" t="n"/>
      <c r="D253" s="24" t="n"/>
      <c r="E253" s="31">
        <f>IF(B253="","",COUNTIF($V$10:V253,B253))</f>
        <v/>
      </c>
      <c r="F253" s="41">
        <f>IF(V253="","",IF(E253&gt;=IF(N($C$5)&gt;0,$C$5,3),"Revient : appeler",IF(E253&gt;=2,"Déjà dans la liste","")))</f>
        <v/>
      </c>
      <c r="G253" s="14" t="n"/>
      <c r="H253" s="14" t="n"/>
      <c r="I253" s="14" t="n"/>
      <c r="V253" s="9">
        <f>IF(B253="","",IF(COUNTIF(B250:B253,B253)=1,B253,""))</f>
        <v/>
      </c>
    </row>
    <row r="254" ht="15" customHeight="1">
      <c r="A254" s="29" t="n"/>
      <c r="B254" s="14" t="n"/>
      <c r="C254" s="22" t="n"/>
      <c r="D254" s="24" t="n"/>
      <c r="E254" s="31">
        <f>IF(B254="","",COUNTIF($V$10:V254,B254))</f>
        <v/>
      </c>
      <c r="F254" s="41">
        <f>IF(V254="","",IF(E254&gt;=IF(N($C$5)&gt;0,$C$5,3),"Revient : appeler",IF(E254&gt;=2,"Déjà dans la liste","")))</f>
        <v/>
      </c>
      <c r="G254" s="14" t="n"/>
      <c r="H254" s="14" t="n"/>
      <c r="I254" s="14" t="n"/>
      <c r="V254" s="9">
        <f>IF(B254="","",IF(COUNTIF(B250:B254,B254)=1,B254,""))</f>
        <v/>
      </c>
    </row>
    <row r="255" ht="15" customHeight="1">
      <c r="A255" s="35">
        <f>IF($C$4="","",$C$4+343)</f>
        <v/>
      </c>
      <c r="B255" s="36" t="n"/>
      <c r="C255" s="37" t="n"/>
      <c r="D255" s="38" t="n"/>
      <c r="E255" s="39">
        <f>IF(B255="","",COUNTIF($V$10:V255,B255))</f>
        <v/>
      </c>
      <c r="F255" s="40">
        <f>IF(V255="","",IF(E255&gt;=IF(N($C$5)&gt;0,$C$5,3),"Revient : appeler",IF(E255&gt;=2,"Déjà dans la liste","")))</f>
        <v/>
      </c>
      <c r="G255" s="36" t="n"/>
      <c r="H255" s="36" t="n"/>
      <c r="I255" s="36" t="n"/>
      <c r="V255" s="9">
        <f>IF(B255="","",IF(COUNTIF(B255:B255,B255)=1,B255,""))</f>
        <v/>
      </c>
    </row>
    <row r="256" ht="15" customHeight="1">
      <c r="A256" s="29" t="n"/>
      <c r="B256" s="14" t="n"/>
      <c r="C256" s="22" t="n"/>
      <c r="D256" s="24" t="n"/>
      <c r="E256" s="31">
        <f>IF(B256="","",COUNTIF($V$10:V256,B256))</f>
        <v/>
      </c>
      <c r="F256" s="41">
        <f>IF(V256="","",IF(E256&gt;=IF(N($C$5)&gt;0,$C$5,3),"Revient : appeler",IF(E256&gt;=2,"Déjà dans la liste","")))</f>
        <v/>
      </c>
      <c r="G256" s="14" t="n"/>
      <c r="H256" s="14" t="n"/>
      <c r="I256" s="14" t="n"/>
      <c r="V256" s="9">
        <f>IF(B256="","",IF(COUNTIF(B255:B256,B256)=1,B256,""))</f>
        <v/>
      </c>
    </row>
    <row r="257" ht="15" customHeight="1">
      <c r="A257" s="29" t="n"/>
      <c r="B257" s="14" t="n"/>
      <c r="C257" s="22" t="n"/>
      <c r="D257" s="24" t="n"/>
      <c r="E257" s="31">
        <f>IF(B257="","",COUNTIF($V$10:V257,B257))</f>
        <v/>
      </c>
      <c r="F257" s="41">
        <f>IF(V257="","",IF(E257&gt;=IF(N($C$5)&gt;0,$C$5,3),"Revient : appeler",IF(E257&gt;=2,"Déjà dans la liste","")))</f>
        <v/>
      </c>
      <c r="G257" s="14" t="n"/>
      <c r="H257" s="14" t="n"/>
      <c r="I257" s="14" t="n"/>
      <c r="V257" s="9">
        <f>IF(B257="","",IF(COUNTIF(B255:B257,B257)=1,B257,""))</f>
        <v/>
      </c>
    </row>
    <row r="258" ht="15" customHeight="1">
      <c r="A258" s="29" t="n"/>
      <c r="B258" s="14" t="n"/>
      <c r="C258" s="22" t="n"/>
      <c r="D258" s="24" t="n"/>
      <c r="E258" s="31">
        <f>IF(B258="","",COUNTIF($V$10:V258,B258))</f>
        <v/>
      </c>
      <c r="F258" s="41">
        <f>IF(V258="","",IF(E258&gt;=IF(N($C$5)&gt;0,$C$5,3),"Revient : appeler",IF(E258&gt;=2,"Déjà dans la liste","")))</f>
        <v/>
      </c>
      <c r="G258" s="14" t="n"/>
      <c r="H258" s="14" t="n"/>
      <c r="I258" s="14" t="n"/>
      <c r="V258" s="9">
        <f>IF(B258="","",IF(COUNTIF(B255:B258,B258)=1,B258,""))</f>
        <v/>
      </c>
    </row>
    <row r="259" ht="15" customHeight="1">
      <c r="A259" s="29" t="n"/>
      <c r="B259" s="14" t="n"/>
      <c r="C259" s="22" t="n"/>
      <c r="D259" s="24" t="n"/>
      <c r="E259" s="31">
        <f>IF(B259="","",COUNTIF($V$10:V259,B259))</f>
        <v/>
      </c>
      <c r="F259" s="41">
        <f>IF(V259="","",IF(E259&gt;=IF(N($C$5)&gt;0,$C$5,3),"Revient : appeler",IF(E259&gt;=2,"Déjà dans la liste","")))</f>
        <v/>
      </c>
      <c r="G259" s="14" t="n"/>
      <c r="H259" s="14" t="n"/>
      <c r="I259" s="14" t="n"/>
      <c r="V259" s="9">
        <f>IF(B259="","",IF(COUNTIF(B255:B259,B259)=1,B259,""))</f>
        <v/>
      </c>
    </row>
    <row r="260" ht="15" customHeight="1">
      <c r="A260" s="35">
        <f>IF($C$4="","",$C$4+350)</f>
        <v/>
      </c>
      <c r="B260" s="36" t="n"/>
      <c r="C260" s="37" t="n"/>
      <c r="D260" s="38" t="n"/>
      <c r="E260" s="39">
        <f>IF(B260="","",COUNTIF($V$10:V260,B260))</f>
        <v/>
      </c>
      <c r="F260" s="40">
        <f>IF(V260="","",IF(E260&gt;=IF(N($C$5)&gt;0,$C$5,3),"Revient : appeler",IF(E260&gt;=2,"Déjà dans la liste","")))</f>
        <v/>
      </c>
      <c r="G260" s="36" t="n"/>
      <c r="H260" s="36" t="n"/>
      <c r="I260" s="36" t="n"/>
      <c r="V260" s="9">
        <f>IF(B260="","",IF(COUNTIF(B260:B260,B260)=1,B260,""))</f>
        <v/>
      </c>
    </row>
    <row r="261" ht="15" customHeight="1">
      <c r="A261" s="29" t="n"/>
      <c r="B261" s="14" t="n"/>
      <c r="C261" s="22" t="n"/>
      <c r="D261" s="24" t="n"/>
      <c r="E261" s="31">
        <f>IF(B261="","",COUNTIF($V$10:V261,B261))</f>
        <v/>
      </c>
      <c r="F261" s="41">
        <f>IF(V261="","",IF(E261&gt;=IF(N($C$5)&gt;0,$C$5,3),"Revient : appeler",IF(E261&gt;=2,"Déjà dans la liste","")))</f>
        <v/>
      </c>
      <c r="G261" s="14" t="n"/>
      <c r="H261" s="14" t="n"/>
      <c r="I261" s="14" t="n"/>
      <c r="V261" s="9">
        <f>IF(B261="","",IF(COUNTIF(B260:B261,B261)=1,B261,""))</f>
        <v/>
      </c>
    </row>
    <row r="262" ht="15" customHeight="1">
      <c r="A262" s="29" t="n"/>
      <c r="B262" s="14" t="n"/>
      <c r="C262" s="22" t="n"/>
      <c r="D262" s="24" t="n"/>
      <c r="E262" s="31">
        <f>IF(B262="","",COUNTIF($V$10:V262,B262))</f>
        <v/>
      </c>
      <c r="F262" s="41">
        <f>IF(V262="","",IF(E262&gt;=IF(N($C$5)&gt;0,$C$5,3),"Revient : appeler",IF(E262&gt;=2,"Déjà dans la liste","")))</f>
        <v/>
      </c>
      <c r="G262" s="14" t="n"/>
      <c r="H262" s="14" t="n"/>
      <c r="I262" s="14" t="n"/>
      <c r="V262" s="9">
        <f>IF(B262="","",IF(COUNTIF(B260:B262,B262)=1,B262,""))</f>
        <v/>
      </c>
    </row>
    <row r="263" ht="15" customHeight="1">
      <c r="A263" s="29" t="n"/>
      <c r="B263" s="14" t="n"/>
      <c r="C263" s="22" t="n"/>
      <c r="D263" s="24" t="n"/>
      <c r="E263" s="31">
        <f>IF(B263="","",COUNTIF($V$10:V263,B263))</f>
        <v/>
      </c>
      <c r="F263" s="41">
        <f>IF(V263="","",IF(E263&gt;=IF(N($C$5)&gt;0,$C$5,3),"Revient : appeler",IF(E263&gt;=2,"Déjà dans la liste","")))</f>
        <v/>
      </c>
      <c r="G263" s="14" t="n"/>
      <c r="H263" s="14" t="n"/>
      <c r="I263" s="14" t="n"/>
      <c r="V263" s="9">
        <f>IF(B263="","",IF(COUNTIF(B260:B263,B263)=1,B263,""))</f>
        <v/>
      </c>
    </row>
    <row r="264" ht="15" customHeight="1">
      <c r="A264" s="29" t="n"/>
      <c r="B264" s="14" t="n"/>
      <c r="C264" s="22" t="n"/>
      <c r="D264" s="24" t="n"/>
      <c r="E264" s="31">
        <f>IF(B264="","",COUNTIF($V$10:V264,B264))</f>
        <v/>
      </c>
      <c r="F264" s="41">
        <f>IF(V264="","",IF(E264&gt;=IF(N($C$5)&gt;0,$C$5,3),"Revient : appeler",IF(E264&gt;=2,"Déjà dans la liste","")))</f>
        <v/>
      </c>
      <c r="G264" s="14" t="n"/>
      <c r="H264" s="14" t="n"/>
      <c r="I264" s="14" t="n"/>
      <c r="V264" s="9">
        <f>IF(B264="","",IF(COUNTIF(B260:B264,B264)=1,B264,""))</f>
        <v/>
      </c>
    </row>
    <row r="265" ht="15" customHeight="1">
      <c r="A265" s="35">
        <f>IF($C$4="","",$C$4+357)</f>
        <v/>
      </c>
      <c r="B265" s="36" t="n"/>
      <c r="C265" s="37" t="n"/>
      <c r="D265" s="38" t="n"/>
      <c r="E265" s="39">
        <f>IF(B265="","",COUNTIF($V$10:V265,B265))</f>
        <v/>
      </c>
      <c r="F265" s="40">
        <f>IF(V265="","",IF(E265&gt;=IF(N($C$5)&gt;0,$C$5,3),"Revient : appeler",IF(E265&gt;=2,"Déjà dans la liste","")))</f>
        <v/>
      </c>
      <c r="G265" s="36" t="n"/>
      <c r="H265" s="36" t="n"/>
      <c r="I265" s="36" t="n"/>
      <c r="V265" s="9">
        <f>IF(B265="","",IF(COUNTIF(B265:B265,B265)=1,B265,""))</f>
        <v/>
      </c>
    </row>
    <row r="266" ht="15" customHeight="1">
      <c r="A266" s="29" t="n"/>
      <c r="B266" s="14" t="n"/>
      <c r="C266" s="22" t="n"/>
      <c r="D266" s="24" t="n"/>
      <c r="E266" s="31">
        <f>IF(B266="","",COUNTIF($V$10:V266,B266))</f>
        <v/>
      </c>
      <c r="F266" s="41">
        <f>IF(V266="","",IF(E266&gt;=IF(N($C$5)&gt;0,$C$5,3),"Revient : appeler",IF(E266&gt;=2,"Déjà dans la liste","")))</f>
        <v/>
      </c>
      <c r="G266" s="14" t="n"/>
      <c r="H266" s="14" t="n"/>
      <c r="I266" s="14" t="n"/>
      <c r="V266" s="9">
        <f>IF(B266="","",IF(COUNTIF(B265:B266,B266)=1,B266,""))</f>
        <v/>
      </c>
    </row>
    <row r="267" ht="15" customHeight="1">
      <c r="A267" s="29" t="n"/>
      <c r="B267" s="14" t="n"/>
      <c r="C267" s="22" t="n"/>
      <c r="D267" s="24" t="n"/>
      <c r="E267" s="31">
        <f>IF(B267="","",COUNTIF($V$10:V267,B267))</f>
        <v/>
      </c>
      <c r="F267" s="41">
        <f>IF(V267="","",IF(E267&gt;=IF(N($C$5)&gt;0,$C$5,3),"Revient : appeler",IF(E267&gt;=2,"Déjà dans la liste","")))</f>
        <v/>
      </c>
      <c r="G267" s="14" t="n"/>
      <c r="H267" s="14" t="n"/>
      <c r="I267" s="14" t="n"/>
      <c r="V267" s="9">
        <f>IF(B267="","",IF(COUNTIF(B265:B267,B267)=1,B267,""))</f>
        <v/>
      </c>
    </row>
    <row r="268" ht="15" customHeight="1">
      <c r="A268" s="29" t="n"/>
      <c r="B268" s="14" t="n"/>
      <c r="C268" s="22" t="n"/>
      <c r="D268" s="24" t="n"/>
      <c r="E268" s="31">
        <f>IF(B268="","",COUNTIF($V$10:V268,B268))</f>
        <v/>
      </c>
      <c r="F268" s="41">
        <f>IF(V268="","",IF(E268&gt;=IF(N($C$5)&gt;0,$C$5,3),"Revient : appeler",IF(E268&gt;=2,"Déjà dans la liste","")))</f>
        <v/>
      </c>
      <c r="G268" s="14" t="n"/>
      <c r="H268" s="14" t="n"/>
      <c r="I268" s="14" t="n"/>
      <c r="V268" s="9">
        <f>IF(B268="","",IF(COUNTIF(B265:B268,B268)=1,B268,""))</f>
        <v/>
      </c>
    </row>
    <row r="269" ht="15" customHeight="1">
      <c r="A269" s="29" t="n"/>
      <c r="B269" s="14" t="n"/>
      <c r="C269" s="22" t="n"/>
      <c r="D269" s="24" t="n"/>
      <c r="E269" s="31">
        <f>IF(B269="","",COUNTIF($V$10:V269,B269))</f>
        <v/>
      </c>
      <c r="F269" s="41">
        <f>IF(V269="","",IF(E269&gt;=IF(N($C$5)&gt;0,$C$5,3),"Revient : appeler",IF(E269&gt;=2,"Déjà dans la liste","")))</f>
        <v/>
      </c>
      <c r="G269" s="14" t="n"/>
      <c r="H269" s="14" t="n"/>
      <c r="I269" s="14" t="n"/>
      <c r="V269" s="9">
        <f>IF(B269="","",IF(COUNTIF(B265:B269,B269)=1,B269,""))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20">
    <mergeCell ref="G125:I125"/>
    <mergeCell ref="G112:I112"/>
    <mergeCell ref="G62:I62"/>
    <mergeCell ref="G127:I127"/>
    <mergeCell ref="A265:A269"/>
    <mergeCell ref="G201:I201"/>
    <mergeCell ref="G250:I250"/>
    <mergeCell ref="G212:I212"/>
    <mergeCell ref="G16:I16"/>
    <mergeCell ref="G203:I203"/>
    <mergeCell ref="G9:I9"/>
    <mergeCell ref="A60:A64"/>
    <mergeCell ref="A260:A264"/>
    <mergeCell ref="G214:I214"/>
    <mergeCell ref="G36:I36"/>
    <mergeCell ref="G107:I107"/>
    <mergeCell ref="A55:A59"/>
    <mergeCell ref="G69:I69"/>
    <mergeCell ref="G196:I196"/>
    <mergeCell ref="A200:A204"/>
    <mergeCell ref="G133:I133"/>
    <mergeCell ref="A215:A219"/>
    <mergeCell ref="G225:I225"/>
    <mergeCell ref="G64:I64"/>
    <mergeCell ref="G135:I135"/>
    <mergeCell ref="G51:I51"/>
    <mergeCell ref="G227:I227"/>
    <mergeCell ref="G226:I226"/>
    <mergeCell ref="G164:I164"/>
    <mergeCell ref="A70:A74"/>
    <mergeCell ref="G251:I251"/>
    <mergeCell ref="G17:I17"/>
    <mergeCell ref="A195:A199"/>
    <mergeCell ref="G82:I82"/>
    <mergeCell ref="G253:I253"/>
    <mergeCell ref="G19:I19"/>
    <mergeCell ref="G146:I146"/>
    <mergeCell ref="G83:I83"/>
    <mergeCell ref="A190:A194"/>
    <mergeCell ref="G58:I58"/>
    <mergeCell ref="A140:A144"/>
    <mergeCell ref="G123:I123"/>
    <mergeCell ref="G110:I110"/>
    <mergeCell ref="G12:I12"/>
    <mergeCell ref="G72:I72"/>
    <mergeCell ref="A45:A49"/>
    <mergeCell ref="A4:B4"/>
    <mergeCell ref="G136:I136"/>
    <mergeCell ref="G70:I70"/>
    <mergeCell ref="G241:I241"/>
    <mergeCell ref="A145:A149"/>
    <mergeCell ref="G228:I228"/>
    <mergeCell ref="A6:I6"/>
    <mergeCell ref="G243:I243"/>
    <mergeCell ref="A105:A109"/>
    <mergeCell ref="G231:I231"/>
    <mergeCell ref="G154:I154"/>
    <mergeCell ref="A165:A169"/>
    <mergeCell ref="G246:I246"/>
    <mergeCell ref="G91:I91"/>
    <mergeCell ref="G25:I25"/>
    <mergeCell ref="G85:I85"/>
    <mergeCell ref="G183:I183"/>
    <mergeCell ref="G60:I60"/>
    <mergeCell ref="G149:I149"/>
    <mergeCell ref="G198:I198"/>
    <mergeCell ref="G247:I247"/>
    <mergeCell ref="G185:I185"/>
    <mergeCell ref="G151:I151"/>
    <mergeCell ref="G178:I178"/>
    <mergeCell ref="G126:I126"/>
    <mergeCell ref="G38:I38"/>
    <mergeCell ref="G13:I13"/>
    <mergeCell ref="A95:A99"/>
    <mergeCell ref="G249:I249"/>
    <mergeCell ref="A160:A164"/>
    <mergeCell ref="G15:I15"/>
    <mergeCell ref="G104:I104"/>
    <mergeCell ref="G79:I79"/>
    <mergeCell ref="G73:I73"/>
    <mergeCell ref="G252:I252"/>
    <mergeCell ref="G173:I173"/>
    <mergeCell ref="A2:K2"/>
    <mergeCell ref="G155:I155"/>
    <mergeCell ref="G170:I170"/>
    <mergeCell ref="G157:I157"/>
    <mergeCell ref="G262:I262"/>
    <mergeCell ref="G122:I122"/>
    <mergeCell ref="G101:I101"/>
    <mergeCell ref="G172:I172"/>
    <mergeCell ref="G28:I28"/>
    <mergeCell ref="G199:I199"/>
    <mergeCell ref="G186:I186"/>
    <mergeCell ref="G92:I92"/>
    <mergeCell ref="G263:I263"/>
    <mergeCell ref="G30:I30"/>
    <mergeCell ref="G152:I152"/>
    <mergeCell ref="G54:I54"/>
    <mergeCell ref="G41:I41"/>
    <mergeCell ref="G106:I106"/>
    <mergeCell ref="A250:A254"/>
    <mergeCell ref="G81:I81"/>
    <mergeCell ref="G56:I56"/>
    <mergeCell ref="A225:A229"/>
    <mergeCell ref="G105:I105"/>
    <mergeCell ref="G43:I43"/>
    <mergeCell ref="G145:I145"/>
    <mergeCell ref="G120:I120"/>
    <mergeCell ref="G181:I181"/>
    <mergeCell ref="G147:I147"/>
    <mergeCell ref="G174:I174"/>
    <mergeCell ref="G245:I245"/>
    <mergeCell ref="G189:I189"/>
    <mergeCell ref="G34:I34"/>
    <mergeCell ref="G207:I207"/>
    <mergeCell ref="A180:A184"/>
    <mergeCell ref="A240:A244"/>
    <mergeCell ref="G113:I113"/>
    <mergeCell ref="G29:I29"/>
    <mergeCell ref="G200:I200"/>
    <mergeCell ref="G100:I100"/>
    <mergeCell ref="G94:I94"/>
    <mergeCell ref="G265:I265"/>
    <mergeCell ref="G44:I44"/>
    <mergeCell ref="G31:I31"/>
    <mergeCell ref="G202:I202"/>
    <mergeCell ref="A5:B5"/>
    <mergeCell ref="G102:I102"/>
    <mergeCell ref="G158:I158"/>
    <mergeCell ref="G176:I176"/>
    <mergeCell ref="G97:I97"/>
    <mergeCell ref="G268:I268"/>
    <mergeCell ref="G191:I191"/>
    <mergeCell ref="G57:I57"/>
    <mergeCell ref="G128:I128"/>
    <mergeCell ref="G184:I184"/>
    <mergeCell ref="A235:A239"/>
    <mergeCell ref="A210:A214"/>
    <mergeCell ref="G49:I49"/>
    <mergeCell ref="G171:I171"/>
    <mergeCell ref="G220:I220"/>
    <mergeCell ref="G121:I121"/>
    <mergeCell ref="G222:I222"/>
    <mergeCell ref="G259:I259"/>
    <mergeCell ref="G197:I197"/>
    <mergeCell ref="G215:I215"/>
    <mergeCell ref="G261:I261"/>
    <mergeCell ref="G75:I75"/>
    <mergeCell ref="A25:A29"/>
    <mergeCell ref="G39:I39"/>
    <mergeCell ref="G166:I166"/>
    <mergeCell ref="G116:I116"/>
    <mergeCell ref="G103:I103"/>
    <mergeCell ref="A185:A189"/>
    <mergeCell ref="G118:I118"/>
    <mergeCell ref="G167:I167"/>
    <mergeCell ref="G210:I210"/>
    <mergeCell ref="G65:I65"/>
    <mergeCell ref="G192:I192"/>
    <mergeCell ref="A130:A134"/>
    <mergeCell ref="G129:I129"/>
    <mergeCell ref="G63:I63"/>
    <mergeCell ref="A40:A44"/>
    <mergeCell ref="G50:I50"/>
    <mergeCell ref="G221:I221"/>
    <mergeCell ref="A15:A19"/>
    <mergeCell ref="D5:I5"/>
    <mergeCell ref="G131:I131"/>
    <mergeCell ref="G236:I236"/>
    <mergeCell ref="G52:I52"/>
    <mergeCell ref="G223:I223"/>
    <mergeCell ref="G264:I264"/>
    <mergeCell ref="A20:A24"/>
    <mergeCell ref="G78:I78"/>
    <mergeCell ref="G205:I205"/>
    <mergeCell ref="G124:I124"/>
    <mergeCell ref="A135:A139"/>
    <mergeCell ref="G142:I142"/>
    <mergeCell ref="G80:I80"/>
    <mergeCell ref="G234:I234"/>
    <mergeCell ref="G55:I55"/>
    <mergeCell ref="G188:I188"/>
    <mergeCell ref="G182:I182"/>
    <mergeCell ref="G144:I144"/>
    <mergeCell ref="G119:I119"/>
    <mergeCell ref="A30:A34"/>
    <mergeCell ref="G211:I211"/>
    <mergeCell ref="G71:I71"/>
    <mergeCell ref="A90:A94"/>
    <mergeCell ref="G10:I10"/>
    <mergeCell ref="G66:I66"/>
    <mergeCell ref="G137:I137"/>
    <mergeCell ref="G53:I53"/>
    <mergeCell ref="G74:I74"/>
    <mergeCell ref="A85:A89"/>
    <mergeCell ref="G68:I68"/>
    <mergeCell ref="G239:I239"/>
    <mergeCell ref="G139:I139"/>
    <mergeCell ref="G168:I168"/>
    <mergeCell ref="A230:A234"/>
    <mergeCell ref="G213:I213"/>
    <mergeCell ref="G150:I150"/>
    <mergeCell ref="G255:I255"/>
    <mergeCell ref="G242:I242"/>
    <mergeCell ref="G21:I21"/>
    <mergeCell ref="G208:I208"/>
    <mergeCell ref="G244:I244"/>
    <mergeCell ref="A65:A69"/>
    <mergeCell ref="G219:I219"/>
    <mergeCell ref="G23:I23"/>
    <mergeCell ref="G194:I194"/>
    <mergeCell ref="G237:I237"/>
    <mergeCell ref="A80:A84"/>
    <mergeCell ref="G160:I160"/>
    <mergeCell ref="G18:I18"/>
    <mergeCell ref="A1:H1"/>
    <mergeCell ref="G163:I163"/>
    <mergeCell ref="A155:A159"/>
    <mergeCell ref="G138:I138"/>
    <mergeCell ref="G76:I76"/>
    <mergeCell ref="A220:A224"/>
    <mergeCell ref="G230:I230"/>
    <mergeCell ref="G165:I165"/>
    <mergeCell ref="G140:I140"/>
    <mergeCell ref="G238:I238"/>
    <mergeCell ref="G232:I232"/>
    <mergeCell ref="G77:I77"/>
    <mergeCell ref="G11:I11"/>
    <mergeCell ref="G169:I169"/>
    <mergeCell ref="G233:I233"/>
    <mergeCell ref="A75:A79"/>
    <mergeCell ref="G87:I87"/>
    <mergeCell ref="A175:A179"/>
    <mergeCell ref="G258:I258"/>
    <mergeCell ref="A150:A154"/>
    <mergeCell ref="G24:I24"/>
    <mergeCell ref="G195:I195"/>
    <mergeCell ref="G95:I95"/>
    <mergeCell ref="G266:I266"/>
    <mergeCell ref="G89:I89"/>
    <mergeCell ref="G260:I260"/>
    <mergeCell ref="G88:I88"/>
    <mergeCell ref="G26:I26"/>
    <mergeCell ref="A170:A174"/>
    <mergeCell ref="G153:I153"/>
    <mergeCell ref="G90:I90"/>
    <mergeCell ref="G217:I217"/>
    <mergeCell ref="G115:I115"/>
    <mergeCell ref="G42:I42"/>
    <mergeCell ref="A50:A54"/>
    <mergeCell ref="G179:I179"/>
    <mergeCell ref="G240:I240"/>
    <mergeCell ref="G141:I141"/>
    <mergeCell ref="G190:I190"/>
    <mergeCell ref="G37:I37"/>
    <mergeCell ref="G254:I254"/>
    <mergeCell ref="G248:I248"/>
    <mergeCell ref="G235:I235"/>
    <mergeCell ref="G14:I14"/>
    <mergeCell ref="D4:I4"/>
    <mergeCell ref="G32:I32"/>
    <mergeCell ref="G159:I159"/>
    <mergeCell ref="G134:I134"/>
    <mergeCell ref="G96:I96"/>
    <mergeCell ref="G161:I161"/>
    <mergeCell ref="G27:I27"/>
    <mergeCell ref="G98:I98"/>
    <mergeCell ref="G267:I267"/>
    <mergeCell ref="G156:I156"/>
    <mergeCell ref="G93:I93"/>
    <mergeCell ref="G187:I187"/>
    <mergeCell ref="A125:A129"/>
    <mergeCell ref="G108:I108"/>
    <mergeCell ref="A100:A104"/>
    <mergeCell ref="G180:I180"/>
    <mergeCell ref="A35:A39"/>
    <mergeCell ref="G45:I45"/>
    <mergeCell ref="G216:I216"/>
    <mergeCell ref="A10:A14"/>
    <mergeCell ref="G20:I20"/>
    <mergeCell ref="G256:I256"/>
    <mergeCell ref="G109:I109"/>
    <mergeCell ref="G47:I47"/>
    <mergeCell ref="G218:I218"/>
    <mergeCell ref="G84:I84"/>
    <mergeCell ref="G22:I22"/>
    <mergeCell ref="G193:I193"/>
    <mergeCell ref="G46:I46"/>
    <mergeCell ref="G40:I40"/>
    <mergeCell ref="G111:I111"/>
    <mergeCell ref="G86:I86"/>
    <mergeCell ref="G257:I257"/>
    <mergeCell ref="A255:A259"/>
    <mergeCell ref="G209:I209"/>
    <mergeCell ref="A120:A124"/>
    <mergeCell ref="G175:I175"/>
    <mergeCell ref="G162:I162"/>
    <mergeCell ref="G229:I229"/>
    <mergeCell ref="G177:I177"/>
    <mergeCell ref="G148:I148"/>
    <mergeCell ref="G33:I33"/>
    <mergeCell ref="G204:I204"/>
    <mergeCell ref="A115:A119"/>
    <mergeCell ref="G269:I269"/>
    <mergeCell ref="G114:I114"/>
    <mergeCell ref="G35:I35"/>
    <mergeCell ref="G206:I206"/>
    <mergeCell ref="A245:A249"/>
    <mergeCell ref="G143:I143"/>
    <mergeCell ref="G99:I99"/>
    <mergeCell ref="G59:I59"/>
    <mergeCell ref="A110:A114"/>
    <mergeCell ref="G130:I130"/>
    <mergeCell ref="G117:I117"/>
    <mergeCell ref="G67:I67"/>
    <mergeCell ref="G61:I61"/>
    <mergeCell ref="A205:A209"/>
    <mergeCell ref="G132:I132"/>
    <mergeCell ref="G48:I48"/>
    <mergeCell ref="G224:I224"/>
  </mergeCells>
  <conditionalFormatting sqref="F10:F269">
    <cfRule type="expression" priority="1" dxfId="0" stopIfTrue="0">
      <formula>$F10="Revient : appeler"</formula>
    </cfRule>
  </conditionalFormatting>
  <conditionalFormatting sqref="A10:A269">
    <cfRule type="expression" priority="2" dxfId="1" stopIfTrue="0">
      <formula>AND(ISNUMBER(A10),A10&lt;=TODAY(),A10+7&gt;TODAY())</formula>
    </cfRule>
  </conditionalFormatting>
  <dataValidations count="3">
    <dataValidation sqref="C5" showDropDown="0" showInputMessage="0" showErrorMessage="1" allowBlank="1" errorTitle="Nombre entier" error="Saisissez un nombre entier de 1 à 52." type="whole" operator="between">
      <formula1>1</formula1>
      <formula2>52</formula2>
    </dataValidation>
    <dataValidation sqref="C10:C269" showDropDown="0" showInputMessage="0" showErrorMessage="1" allowBlank="1" errorTitle="Montant positif" error="Saisissez un montant positif." type="decimal" operator="greaterThanOrEqual">
      <formula1>0</formula1>
    </dataValidation>
    <dataValidation sqref="D10:D269" showDropDown="0" showInputMessage="0" showErrorMessage="1" allowBlank="1" errorTitle="Nombre de jours" error="Saisissez un nombre entier de jours (0 ou plus)." type="whole" operator="greaterThanOrEqual">
      <formula1>0</formula1>
    </dataValidation>
  </dataValidations>
  <printOptions horizontalCentered="1"/>
  <pageMargins left="0.4" right="0.4" top="0.5" bottom="0.6" header="0.5" footer="0.5"/>
  <pageSetup orientation="portrait" paperSize="9" fitToHeight="0" fitToWidth="1"/>
  <headerFooter>
    <oddHeader/>
    <oddFooter>&amp;L&amp;"Arial,Regular"&amp;8 &amp;K57534ETudor Hilcu, par THG Conseil · thgconseil.fr&amp;C&amp;"Arial,Regular"&amp;8 &amp;K57534E&amp;R&amp;"Arial,Regular"&amp;8 &amp;K57534E&amp;P / &amp;N</oddFooter>
    <evenHeader/>
    <evenFooter/>
    <firstHeader/>
    <firstFooter/>
  </headerFooter>
  <rowBreaks count="4" manualBreakCount="4">
    <brk id="59" min="0" max="16383" man="1"/>
    <brk id="119" min="0" max="16383" man="1"/>
    <brk id="179" min="0" max="16383" man="1"/>
    <brk id="239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T119"/>
  <sheetViews>
    <sheetView showGridLines="0" zoomScale="100" workbookViewId="0">
      <pane xSplit="2" ySplit="19" topLeftCell="C2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2" customWidth="1" min="4" max="4"/>
    <col width="12" customWidth="1" min="5" max="5"/>
    <col width="18" customWidth="1" min="6" max="6"/>
    <col width="11" customWidth="1" min="7" max="7"/>
    <col width="20" customWidth="1" min="8" max="8"/>
    <col width="12" customWidth="1" min="9" max="9"/>
    <col width="24" customWidth="1" min="10" max="10"/>
    <col width="12" customWidth="1" min="11" max="11"/>
    <col width="10" customWidth="1" min="12" max="12"/>
    <col width="13" customWidth="1" min="13" max="13"/>
    <col width="12" customWidth="1" min="14" max="14"/>
    <col width="24" customWidth="1" min="15" max="15"/>
    <col hidden="1" width="10" customWidth="1" min="16" max="16"/>
    <col hidden="1" width="10" customWidth="1" min="17" max="17"/>
    <col hidden="1" width="10" customWidth="1" min="18" max="18"/>
    <col hidden="1" width="10" customWidth="1" min="19" max="19"/>
    <col hidden="1" width="10" customWidth="1" min="20" max="20"/>
    <col hidden="1" width="10" customWidth="1" min="21" max="21"/>
    <col hidden="1" width="10" customWidth="1" min="22" max="22"/>
  </cols>
  <sheetData>
    <row r="1" ht="26" customHeight="1">
      <c r="A1" s="11" t="inlineStr">
        <is>
          <t>Relances clients</t>
        </is>
      </c>
    </row>
    <row r="2" ht="16.7" customHeight="1">
      <c r="A2" s="12" t="inlineStr">
        <is>
          <t>Une ligne par facture envoyée. Le classeur calcule le retard, la prochaine relance et sa date, et une estimation des pénalités prévues par le Code de commerce.</t>
        </is>
      </c>
    </row>
    <row r="3" ht="8" customHeight="1"/>
    <row r="4">
      <c r="A4" s="13" t="inlineStr">
        <is>
          <t>Date du jour (vide = aujourd’hui)</t>
        </is>
      </c>
      <c r="C4" s="17" t="n"/>
      <c r="F4" s="42" t="inlineStr">
        <is>
          <t>Calendrier de relance (jours par rapport à l’échéance)</t>
        </is>
      </c>
      <c r="G4" s="43" t="n"/>
      <c r="H4" s="43" t="n"/>
      <c r="I4" s="43" t="n"/>
      <c r="J4" s="43" t="n"/>
      <c r="L4" s="15" t="inlineStr">
        <is>
          <t>Factures en retard</t>
        </is>
      </c>
      <c r="O4" s="21">
        <f>COUNTIF($F$20:$F$119,"En retard")</f>
        <v/>
      </c>
    </row>
    <row r="5">
      <c r="A5" s="13" t="inlineStr">
        <is>
          <t>Date retenue pour les calculs</t>
        </is>
      </c>
      <c r="C5" s="16">
        <f>IF($C$4="",TODAY(),$C$4)</f>
        <v/>
      </c>
      <c r="F5" s="32" t="inlineStr">
        <is>
          <t>Rappel courtois</t>
        </is>
      </c>
      <c r="G5" s="44" t="n">
        <v>-3</v>
      </c>
      <c r="H5" s="41" t="inlineStr">
        <is>
          <t>Modèle 1</t>
        </is>
      </c>
      <c r="I5" s="41" t="n"/>
      <c r="J5" s="41" t="n"/>
      <c r="L5" s="15" t="inlineStr">
        <is>
          <t>Montant en retard (TTC)</t>
        </is>
      </c>
      <c r="O5" s="19">
        <f>SUMIF($F$20:$F$119,"En retard",$C$20:$C$119)</f>
        <v/>
      </c>
    </row>
    <row r="6">
      <c r="A6" s="13" t="inlineStr">
        <is>
          <t>Taux annuel des pénalités de retard</t>
        </is>
      </c>
      <c r="C6" s="45" t="n">
        <v>0.124</v>
      </c>
      <c r="F6" s="32" t="inlineStr">
        <is>
          <t>Relance amiable</t>
        </is>
      </c>
      <c r="G6" s="44" t="n">
        <v>1</v>
      </c>
      <c r="H6" s="41" t="inlineStr">
        <is>
          <t>Modèle 2</t>
        </is>
      </c>
      <c r="I6" s="41" t="n"/>
      <c r="J6" s="41" t="n"/>
      <c r="L6" s="15" t="inlineStr">
        <is>
          <t>Pénalités estimées</t>
        </is>
      </c>
      <c r="O6" s="46">
        <f>SUMIF($F$20:$F$119,"En retard",$M$20:$M$119)</f>
        <v/>
      </c>
    </row>
    <row r="7">
      <c r="A7" s="13" t="inlineStr">
        <is>
          <t>Indemnité forfaitaire par facture en retard</t>
        </is>
      </c>
      <c r="C7" s="47" t="n">
        <v>40</v>
      </c>
      <c r="F7" s="32" t="inlineStr">
        <is>
          <t>Appel</t>
        </is>
      </c>
      <c r="G7" s="44" t="n">
        <v>7</v>
      </c>
      <c r="H7" s="41" t="inlineStr">
        <is>
          <t>Appel, puis modèle 3</t>
        </is>
      </c>
      <c r="I7" s="41" t="n"/>
      <c r="J7" s="41" t="n"/>
      <c r="L7" s="15" t="inlineStr">
        <is>
          <t>Indemnités forfaitaires</t>
        </is>
      </c>
      <c r="O7" s="19">
        <f>SUMIF($F$20:$F$119,"En retard",$N$20:$N$119)</f>
        <v/>
      </c>
    </row>
    <row r="8" ht="23.3" customHeight="1">
      <c r="A8" s="48" t="inlineStr">
        <is>
          <t>12,40 % = taux de la BCE au 1er juillet 2026 (2,40 %) + 10 points, pour le second semestre 2026 ; à revoir chaque 1er janvier et 1er juillet. Vos CGV peuvent fixer un autre taux, au moins trois fois le taux d’intérêt légal. Entre professionnels : Code de commerce, art. L441-10 et D441-5.</t>
        </is>
      </c>
      <c r="F8" s="32" t="inlineStr">
        <is>
          <t>Relance écrite</t>
        </is>
      </c>
      <c r="G8" s="44" t="n">
        <v>14</v>
      </c>
      <c r="H8" s="41" t="inlineStr">
        <is>
          <t>Modèle 4 (pénalités)</t>
        </is>
      </c>
      <c r="I8" s="41" t="n"/>
      <c r="J8" s="41" t="n"/>
      <c r="L8" s="15" t="inlineStr">
        <is>
          <t>Relances à faire</t>
        </is>
      </c>
      <c r="O8" s="21">
        <f>COUNTIF($L$20:$L$119,"À faire")+COUNTIF($L$20:$L$119,"À décider")</f>
        <v/>
      </c>
    </row>
    <row r="9" ht="23.3" customHeight="1">
      <c r="F9" s="32" t="inlineStr">
        <is>
          <t>Mise en demeure</t>
        </is>
      </c>
      <c r="G9" s="44" t="n">
        <v>30</v>
      </c>
      <c r="H9" s="41" t="inlineStr">
        <is>
          <t>Avec votre avocat</t>
        </is>
      </c>
      <c r="I9" s="41" t="n"/>
      <c r="J9" s="41" t="n"/>
    </row>
    <row r="11" ht="26.9" customHeight="1">
      <c r="A11" s="49" t="inlineStr">
        <is>
          <t>Les cinq plus gros retards à ce jour : à recopier lundi dans l’onglet « Règle du lundi (retards) »</t>
        </is>
      </c>
      <c r="B11" s="43" t="n"/>
      <c r="C11" s="43" t="n"/>
      <c r="D11" s="43" t="n"/>
    </row>
    <row r="12" ht="26" customHeight="1">
      <c r="A12" s="50" t="inlineStr">
        <is>
          <t>N° de facture</t>
        </is>
      </c>
      <c r="B12" s="50" t="inlineStr">
        <is>
          <t>Client</t>
        </is>
      </c>
      <c r="C12" s="50" t="inlineStr">
        <is>
          <t>Montant TTC</t>
        </is>
      </c>
      <c r="D12" s="50" t="inlineStr">
        <is>
          <t>Jours de retard</t>
        </is>
      </c>
    </row>
    <row r="13">
      <c r="A13" s="51">
        <f>IF($P13="","",INDEX($A$20:$A$119,MATCH($P13,$T$20:$T$119,0))&amp;"")</f>
        <v/>
      </c>
      <c r="B13" s="51">
        <f>IF($P13="","Aucune facture en retard",INDEX($B$20:$B$119,MATCH($P13,$T$20:$T$119,0))&amp;"")</f>
        <v/>
      </c>
      <c r="C13" s="52">
        <f>IF($P13="","",INDEX($C$20:$C$119,MATCH($P13,$T$20:$T$119,0)))</f>
        <v/>
      </c>
      <c r="D13" s="53">
        <f>IF($P13="","",INDEX($G$20:$G$119,MATCH($P13,$T$20:$T$119,0)))</f>
        <v/>
      </c>
      <c r="P13" s="9">
        <f>IFERROR(LARGE($T$20:$T$119,1),"")</f>
        <v/>
      </c>
    </row>
    <row r="14">
      <c r="A14" s="51">
        <f>IF($P14="","",INDEX($A$20:$A$119,MATCH($P14,$T$20:$T$119,0))&amp;"")</f>
        <v/>
      </c>
      <c r="B14" s="51">
        <f>IF($P14="","",INDEX($B$20:$B$119,MATCH($P14,$T$20:$T$119,0))&amp;"")</f>
        <v/>
      </c>
      <c r="C14" s="52">
        <f>IF($P14="","",INDEX($C$20:$C$119,MATCH($P14,$T$20:$T$119,0)))</f>
        <v/>
      </c>
      <c r="D14" s="53">
        <f>IF($P14="","",INDEX($G$20:$G$119,MATCH($P14,$T$20:$T$119,0)))</f>
        <v/>
      </c>
      <c r="P14" s="9">
        <f>IFERROR(LARGE($T$20:$T$119,2),"")</f>
        <v/>
      </c>
    </row>
    <row r="15">
      <c r="A15" s="51">
        <f>IF($P15="","",INDEX($A$20:$A$119,MATCH($P15,$T$20:$T$119,0))&amp;"")</f>
        <v/>
      </c>
      <c r="B15" s="51">
        <f>IF($P15="","",INDEX($B$20:$B$119,MATCH($P15,$T$20:$T$119,0))&amp;"")</f>
        <v/>
      </c>
      <c r="C15" s="52">
        <f>IF($P15="","",INDEX($C$20:$C$119,MATCH($P15,$T$20:$T$119,0)))</f>
        <v/>
      </c>
      <c r="D15" s="53">
        <f>IF($P15="","",INDEX($G$20:$G$119,MATCH($P15,$T$20:$T$119,0)))</f>
        <v/>
      </c>
      <c r="P15" s="9">
        <f>IFERROR(LARGE($T$20:$T$119,3),"")</f>
        <v/>
      </c>
    </row>
    <row r="16">
      <c r="A16" s="51">
        <f>IF($P16="","",INDEX($A$20:$A$119,MATCH($P16,$T$20:$T$119,0))&amp;"")</f>
        <v/>
      </c>
      <c r="B16" s="51">
        <f>IF($P16="","",INDEX($B$20:$B$119,MATCH($P16,$T$20:$T$119,0))&amp;"")</f>
        <v/>
      </c>
      <c r="C16" s="52">
        <f>IF($P16="","",INDEX($C$20:$C$119,MATCH($P16,$T$20:$T$119,0)))</f>
        <v/>
      </c>
      <c r="D16" s="53">
        <f>IF($P16="","",INDEX($G$20:$G$119,MATCH($P16,$T$20:$T$119,0)))</f>
        <v/>
      </c>
      <c r="P16" s="9">
        <f>IFERROR(LARGE($T$20:$T$119,4),"")</f>
        <v/>
      </c>
    </row>
    <row r="17">
      <c r="A17" s="51">
        <f>IF($P17="","",INDEX($A$20:$A$119,MATCH($P17,$T$20:$T$119,0))&amp;"")</f>
        <v/>
      </c>
      <c r="B17" s="51">
        <f>IF($P17="","",INDEX($B$20:$B$119,MATCH($P17,$T$20:$T$119,0))&amp;"")</f>
        <v/>
      </c>
      <c r="C17" s="52">
        <f>IF($P17="","",INDEX($C$20:$C$119,MATCH($P17,$T$20:$T$119,0)))</f>
        <v/>
      </c>
      <c r="D17" s="53">
        <f>IF($P17="","",INDEX($G$20:$G$119,MATCH($P17,$T$20:$T$119,0)))</f>
        <v/>
      </c>
      <c r="P17" s="9">
        <f>IFERROR(LARGE($T$20:$T$119,5),"")</f>
        <v/>
      </c>
    </row>
    <row r="18" ht="8" customHeight="1"/>
    <row r="19" ht="42" customHeight="1">
      <c r="A19" s="27" t="inlineStr">
        <is>
          <t>N° de facture</t>
        </is>
      </c>
      <c r="B19" s="27" t="inlineStr">
        <is>
          <t>Client</t>
        </is>
      </c>
      <c r="C19" s="27" t="inlineStr">
        <is>
          <t>Montant TTC</t>
        </is>
      </c>
      <c r="D19" s="27" t="inlineStr">
        <is>
          <t>Échéance</t>
        </is>
      </c>
      <c r="E19" s="27" t="inlineStr">
        <is>
          <t>Date de paiement</t>
        </is>
      </c>
      <c r="F19" s="27" t="inlineStr">
        <is>
          <t>Statut</t>
        </is>
      </c>
      <c r="G19" s="27" t="inlineStr">
        <is>
          <t>Jours de retard</t>
        </is>
      </c>
      <c r="H19" s="27" t="inlineStr">
        <is>
          <t>Dernière action faite</t>
        </is>
      </c>
      <c r="I19" s="27" t="inlineStr">
        <is>
          <t>Date de cette action</t>
        </is>
      </c>
      <c r="J19" s="27" t="inlineStr">
        <is>
          <t>Prochaine action</t>
        </is>
      </c>
      <c r="K19" s="27" t="inlineStr">
        <is>
          <t>Date prévue</t>
        </is>
      </c>
      <c r="L19" s="27" t="inlineStr">
        <is>
          <t>À faire</t>
        </is>
      </c>
      <c r="M19" s="27" t="inlineStr">
        <is>
          <t>Pénalités de retard (estimation)</t>
        </is>
      </c>
      <c r="N19" s="27" t="inlineStr">
        <is>
          <t>Indemnité forfaitaire</t>
        </is>
      </c>
      <c r="O19" s="27" t="inlineStr">
        <is>
          <t>Notes</t>
        </is>
      </c>
    </row>
    <row r="20" ht="16" customHeight="1">
      <c r="A20" s="14" t="n"/>
      <c r="B20" s="14" t="n"/>
      <c r="C20" s="22" t="n"/>
      <c r="D20" s="17" t="n"/>
      <c r="E20" s="17" t="n"/>
      <c r="F20" s="32">
        <f>IF(AND(A20="",B20="",C20="",D20="",E20=""),"",IF(D20="","Échéance à saisir",IF(E20&lt;&gt;"",IF(E20&lt;=D20,"Payée","Payée en retard"),IF($C$5&lt;=D20,"À échoir","En retard"))))</f>
        <v/>
      </c>
      <c r="G20" s="31">
        <f>IF(OR(F20="",D20=""),"",IF(E20&lt;&gt;"",MAX(0,E20-D20),MAX(0,$C$5-D20)))</f>
        <v/>
      </c>
      <c r="H20" s="14" t="n"/>
      <c r="I20" s="17" t="n"/>
      <c r="J20" s="41">
        <f>IF(S20="","",IF(S20&gt;5,"Suite avec votre avocat",INDEX($F$5:$F$9,S20)))</f>
        <v/>
      </c>
      <c r="K20" s="20">
        <f>IF(S20="","",IF(S20&gt;5,"",D20+INDEX($G$5:$G$9,S20)))</f>
        <v/>
      </c>
      <c r="L20" s="54">
        <f>IF(S20="","",IF(S20&gt;5,"À décider",IF(K20&lt;=$C$5,"À faire","")))</f>
        <v/>
      </c>
      <c r="M20" s="55">
        <f>IF(F20="","",IF(N(G20)&lt;=0,0,N(C20)*$C$6*G20/365))</f>
        <v/>
      </c>
      <c r="N20" s="33">
        <f>IF(F20="","",IF(N(G20)&lt;=0,0,N($C$7)))</f>
        <v/>
      </c>
      <c r="O20" s="14" t="n"/>
      <c r="P20" s="9">
        <f>IF(OR(F20="À échoir",F20="En retard"),$C$5-D20,"")</f>
        <v/>
      </c>
      <c r="Q20" s="9">
        <f>IF(P20="","",(P20&gt;=$G$5)+(P20&gt;=$G$6)+(P20&gt;=$G$7)+(P20&gt;=$G$8)+(P20&gt;=$G$9))</f>
        <v/>
      </c>
      <c r="R20" s="9">
        <f>IF(H20="",0,IFERROR(MATCH(H20,$F$5:$F$9,0),0))</f>
        <v/>
      </c>
      <c r="S20" s="9">
        <f>IF(Q20="","",IF(R20&gt;=Q20,R20+1,Q20))</f>
        <v/>
      </c>
      <c r="T20" s="9">
        <f>IF(F20="En retard",N(C20)+20/1000000000,"")</f>
        <v/>
      </c>
    </row>
    <row r="21" ht="16" customHeight="1">
      <c r="A21" s="14" t="n"/>
      <c r="B21" s="14" t="n"/>
      <c r="C21" s="22" t="n"/>
      <c r="D21" s="17" t="n"/>
      <c r="E21" s="17" t="n"/>
      <c r="F21" s="32">
        <f>IF(AND(A21="",B21="",C21="",D21="",E21=""),"",IF(D21="","Échéance à saisir",IF(E21&lt;&gt;"",IF(E21&lt;=D21,"Payée","Payée en retard"),IF($C$5&lt;=D21,"À échoir","En retard"))))</f>
        <v/>
      </c>
      <c r="G21" s="31">
        <f>IF(OR(F21="",D21=""),"",IF(E21&lt;&gt;"",MAX(0,E21-D21),MAX(0,$C$5-D21)))</f>
        <v/>
      </c>
      <c r="H21" s="14" t="n"/>
      <c r="I21" s="17" t="n"/>
      <c r="J21" s="41">
        <f>IF(S21="","",IF(S21&gt;5,"Suite avec votre avocat",INDEX($F$5:$F$9,S21)))</f>
        <v/>
      </c>
      <c r="K21" s="20">
        <f>IF(S21="","",IF(S21&gt;5,"",D21+INDEX($G$5:$G$9,S21)))</f>
        <v/>
      </c>
      <c r="L21" s="54">
        <f>IF(S21="","",IF(S21&gt;5,"À décider",IF(K21&lt;=$C$5,"À faire","")))</f>
        <v/>
      </c>
      <c r="M21" s="55">
        <f>IF(F21="","",IF(N(G21)&lt;=0,0,N(C21)*$C$6*G21/365))</f>
        <v/>
      </c>
      <c r="N21" s="33">
        <f>IF(F21="","",IF(N(G21)&lt;=0,0,N($C$7)))</f>
        <v/>
      </c>
      <c r="O21" s="14" t="n"/>
      <c r="P21" s="9">
        <f>IF(OR(F21="À échoir",F21="En retard"),$C$5-D21,"")</f>
        <v/>
      </c>
      <c r="Q21" s="9">
        <f>IF(P21="","",(P21&gt;=$G$5)+(P21&gt;=$G$6)+(P21&gt;=$G$7)+(P21&gt;=$G$8)+(P21&gt;=$G$9))</f>
        <v/>
      </c>
      <c r="R21" s="9">
        <f>IF(H21="",0,IFERROR(MATCH(H21,$F$5:$F$9,0),0))</f>
        <v/>
      </c>
      <c r="S21" s="9">
        <f>IF(Q21="","",IF(R21&gt;=Q21,R21+1,Q21))</f>
        <v/>
      </c>
      <c r="T21" s="9">
        <f>IF(F21="En retard",N(C21)+21/1000000000,"")</f>
        <v/>
      </c>
    </row>
    <row r="22" ht="16" customHeight="1">
      <c r="A22" s="14" t="n"/>
      <c r="B22" s="14" t="n"/>
      <c r="C22" s="22" t="n"/>
      <c r="D22" s="17" t="n"/>
      <c r="E22" s="17" t="n"/>
      <c r="F22" s="32">
        <f>IF(AND(A22="",B22="",C22="",D22="",E22=""),"",IF(D22="","Échéance à saisir",IF(E22&lt;&gt;"",IF(E22&lt;=D22,"Payée","Payée en retard"),IF($C$5&lt;=D22,"À échoir","En retard"))))</f>
        <v/>
      </c>
      <c r="G22" s="31">
        <f>IF(OR(F22="",D22=""),"",IF(E22&lt;&gt;"",MAX(0,E22-D22),MAX(0,$C$5-D22)))</f>
        <v/>
      </c>
      <c r="H22" s="14" t="n"/>
      <c r="I22" s="17" t="n"/>
      <c r="J22" s="41">
        <f>IF(S22="","",IF(S22&gt;5,"Suite avec votre avocat",INDEX($F$5:$F$9,S22)))</f>
        <v/>
      </c>
      <c r="K22" s="20">
        <f>IF(S22="","",IF(S22&gt;5,"",D22+INDEX($G$5:$G$9,S22)))</f>
        <v/>
      </c>
      <c r="L22" s="54">
        <f>IF(S22="","",IF(S22&gt;5,"À décider",IF(K22&lt;=$C$5,"À faire","")))</f>
        <v/>
      </c>
      <c r="M22" s="55">
        <f>IF(F22="","",IF(N(G22)&lt;=0,0,N(C22)*$C$6*G22/365))</f>
        <v/>
      </c>
      <c r="N22" s="33">
        <f>IF(F22="","",IF(N(G22)&lt;=0,0,N($C$7)))</f>
        <v/>
      </c>
      <c r="O22" s="14" t="n"/>
      <c r="P22" s="9">
        <f>IF(OR(F22="À échoir",F22="En retard"),$C$5-D22,"")</f>
        <v/>
      </c>
      <c r="Q22" s="9">
        <f>IF(P22="","",(P22&gt;=$G$5)+(P22&gt;=$G$6)+(P22&gt;=$G$7)+(P22&gt;=$G$8)+(P22&gt;=$G$9))</f>
        <v/>
      </c>
      <c r="R22" s="9">
        <f>IF(H22="",0,IFERROR(MATCH(H22,$F$5:$F$9,0),0))</f>
        <v/>
      </c>
      <c r="S22" s="9">
        <f>IF(Q22="","",IF(R22&gt;=Q22,R22+1,Q22))</f>
        <v/>
      </c>
      <c r="T22" s="9">
        <f>IF(F22="En retard",N(C22)+22/1000000000,"")</f>
        <v/>
      </c>
    </row>
    <row r="23" ht="16" customHeight="1">
      <c r="A23" s="14" t="n"/>
      <c r="B23" s="14" t="n"/>
      <c r="C23" s="22" t="n"/>
      <c r="D23" s="17" t="n"/>
      <c r="E23" s="17" t="n"/>
      <c r="F23" s="32">
        <f>IF(AND(A23="",B23="",C23="",D23="",E23=""),"",IF(D23="","Échéance à saisir",IF(E23&lt;&gt;"",IF(E23&lt;=D23,"Payée","Payée en retard"),IF($C$5&lt;=D23,"À échoir","En retard"))))</f>
        <v/>
      </c>
      <c r="G23" s="31">
        <f>IF(OR(F23="",D23=""),"",IF(E23&lt;&gt;"",MAX(0,E23-D23),MAX(0,$C$5-D23)))</f>
        <v/>
      </c>
      <c r="H23" s="14" t="n"/>
      <c r="I23" s="17" t="n"/>
      <c r="J23" s="41">
        <f>IF(S23="","",IF(S23&gt;5,"Suite avec votre avocat",INDEX($F$5:$F$9,S23)))</f>
        <v/>
      </c>
      <c r="K23" s="20">
        <f>IF(S23="","",IF(S23&gt;5,"",D23+INDEX($G$5:$G$9,S23)))</f>
        <v/>
      </c>
      <c r="L23" s="54">
        <f>IF(S23="","",IF(S23&gt;5,"À décider",IF(K23&lt;=$C$5,"À faire","")))</f>
        <v/>
      </c>
      <c r="M23" s="55">
        <f>IF(F23="","",IF(N(G23)&lt;=0,0,N(C23)*$C$6*G23/365))</f>
        <v/>
      </c>
      <c r="N23" s="33">
        <f>IF(F23="","",IF(N(G23)&lt;=0,0,N($C$7)))</f>
        <v/>
      </c>
      <c r="O23" s="14" t="n"/>
      <c r="P23" s="9">
        <f>IF(OR(F23="À échoir",F23="En retard"),$C$5-D23,"")</f>
        <v/>
      </c>
      <c r="Q23" s="9">
        <f>IF(P23="","",(P23&gt;=$G$5)+(P23&gt;=$G$6)+(P23&gt;=$G$7)+(P23&gt;=$G$8)+(P23&gt;=$G$9))</f>
        <v/>
      </c>
      <c r="R23" s="9">
        <f>IF(H23="",0,IFERROR(MATCH(H23,$F$5:$F$9,0),0))</f>
        <v/>
      </c>
      <c r="S23" s="9">
        <f>IF(Q23="","",IF(R23&gt;=Q23,R23+1,Q23))</f>
        <v/>
      </c>
      <c r="T23" s="9">
        <f>IF(F23="En retard",N(C23)+23/1000000000,"")</f>
        <v/>
      </c>
    </row>
    <row r="24" ht="16" customHeight="1">
      <c r="A24" s="14" t="n"/>
      <c r="B24" s="14" t="n"/>
      <c r="C24" s="22" t="n"/>
      <c r="D24" s="17" t="n"/>
      <c r="E24" s="17" t="n"/>
      <c r="F24" s="32">
        <f>IF(AND(A24="",B24="",C24="",D24="",E24=""),"",IF(D24="","Échéance à saisir",IF(E24&lt;&gt;"",IF(E24&lt;=D24,"Payée","Payée en retard"),IF($C$5&lt;=D24,"À échoir","En retard"))))</f>
        <v/>
      </c>
      <c r="G24" s="31">
        <f>IF(OR(F24="",D24=""),"",IF(E24&lt;&gt;"",MAX(0,E24-D24),MAX(0,$C$5-D24)))</f>
        <v/>
      </c>
      <c r="H24" s="14" t="n"/>
      <c r="I24" s="17" t="n"/>
      <c r="J24" s="41">
        <f>IF(S24="","",IF(S24&gt;5,"Suite avec votre avocat",INDEX($F$5:$F$9,S24)))</f>
        <v/>
      </c>
      <c r="K24" s="20">
        <f>IF(S24="","",IF(S24&gt;5,"",D24+INDEX($G$5:$G$9,S24)))</f>
        <v/>
      </c>
      <c r="L24" s="54">
        <f>IF(S24="","",IF(S24&gt;5,"À décider",IF(K24&lt;=$C$5,"À faire","")))</f>
        <v/>
      </c>
      <c r="M24" s="55">
        <f>IF(F24="","",IF(N(G24)&lt;=0,0,N(C24)*$C$6*G24/365))</f>
        <v/>
      </c>
      <c r="N24" s="33">
        <f>IF(F24="","",IF(N(G24)&lt;=0,0,N($C$7)))</f>
        <v/>
      </c>
      <c r="O24" s="14" t="n"/>
      <c r="P24" s="9">
        <f>IF(OR(F24="À échoir",F24="En retard"),$C$5-D24,"")</f>
        <v/>
      </c>
      <c r="Q24" s="9">
        <f>IF(P24="","",(P24&gt;=$G$5)+(P24&gt;=$G$6)+(P24&gt;=$G$7)+(P24&gt;=$G$8)+(P24&gt;=$G$9))</f>
        <v/>
      </c>
      <c r="R24" s="9">
        <f>IF(H24="",0,IFERROR(MATCH(H24,$F$5:$F$9,0),0))</f>
        <v/>
      </c>
      <c r="S24" s="9">
        <f>IF(Q24="","",IF(R24&gt;=Q24,R24+1,Q24))</f>
        <v/>
      </c>
      <c r="T24" s="9">
        <f>IF(F24="En retard",N(C24)+24/1000000000,"")</f>
        <v/>
      </c>
    </row>
    <row r="25" ht="16" customHeight="1">
      <c r="A25" s="14" t="n"/>
      <c r="B25" s="14" t="n"/>
      <c r="C25" s="22" t="n"/>
      <c r="D25" s="17" t="n"/>
      <c r="E25" s="17" t="n"/>
      <c r="F25" s="32">
        <f>IF(AND(A25="",B25="",C25="",D25="",E25=""),"",IF(D25="","Échéance à saisir",IF(E25&lt;&gt;"",IF(E25&lt;=D25,"Payée","Payée en retard"),IF($C$5&lt;=D25,"À échoir","En retard"))))</f>
        <v/>
      </c>
      <c r="G25" s="31">
        <f>IF(OR(F25="",D25=""),"",IF(E25&lt;&gt;"",MAX(0,E25-D25),MAX(0,$C$5-D25)))</f>
        <v/>
      </c>
      <c r="H25" s="14" t="n"/>
      <c r="I25" s="17" t="n"/>
      <c r="J25" s="41">
        <f>IF(S25="","",IF(S25&gt;5,"Suite avec votre avocat",INDEX($F$5:$F$9,S25)))</f>
        <v/>
      </c>
      <c r="K25" s="20">
        <f>IF(S25="","",IF(S25&gt;5,"",D25+INDEX($G$5:$G$9,S25)))</f>
        <v/>
      </c>
      <c r="L25" s="54">
        <f>IF(S25="","",IF(S25&gt;5,"À décider",IF(K25&lt;=$C$5,"À faire","")))</f>
        <v/>
      </c>
      <c r="M25" s="55">
        <f>IF(F25="","",IF(N(G25)&lt;=0,0,N(C25)*$C$6*G25/365))</f>
        <v/>
      </c>
      <c r="N25" s="33">
        <f>IF(F25="","",IF(N(G25)&lt;=0,0,N($C$7)))</f>
        <v/>
      </c>
      <c r="O25" s="14" t="n"/>
      <c r="P25" s="9">
        <f>IF(OR(F25="À échoir",F25="En retard"),$C$5-D25,"")</f>
        <v/>
      </c>
      <c r="Q25" s="9">
        <f>IF(P25="","",(P25&gt;=$G$5)+(P25&gt;=$G$6)+(P25&gt;=$G$7)+(P25&gt;=$G$8)+(P25&gt;=$G$9))</f>
        <v/>
      </c>
      <c r="R25" s="9">
        <f>IF(H25="",0,IFERROR(MATCH(H25,$F$5:$F$9,0),0))</f>
        <v/>
      </c>
      <c r="S25" s="9">
        <f>IF(Q25="","",IF(R25&gt;=Q25,R25+1,Q25))</f>
        <v/>
      </c>
      <c r="T25" s="9">
        <f>IF(F25="En retard",N(C25)+25/1000000000,"")</f>
        <v/>
      </c>
    </row>
    <row r="26" ht="16" customHeight="1">
      <c r="A26" s="14" t="n"/>
      <c r="B26" s="14" t="n"/>
      <c r="C26" s="22" t="n"/>
      <c r="D26" s="17" t="n"/>
      <c r="E26" s="17" t="n"/>
      <c r="F26" s="32">
        <f>IF(AND(A26="",B26="",C26="",D26="",E26=""),"",IF(D26="","Échéance à saisir",IF(E26&lt;&gt;"",IF(E26&lt;=D26,"Payée","Payée en retard"),IF($C$5&lt;=D26,"À échoir","En retard"))))</f>
        <v/>
      </c>
      <c r="G26" s="31">
        <f>IF(OR(F26="",D26=""),"",IF(E26&lt;&gt;"",MAX(0,E26-D26),MAX(0,$C$5-D26)))</f>
        <v/>
      </c>
      <c r="H26" s="14" t="n"/>
      <c r="I26" s="17" t="n"/>
      <c r="J26" s="41">
        <f>IF(S26="","",IF(S26&gt;5,"Suite avec votre avocat",INDEX($F$5:$F$9,S26)))</f>
        <v/>
      </c>
      <c r="K26" s="20">
        <f>IF(S26="","",IF(S26&gt;5,"",D26+INDEX($G$5:$G$9,S26)))</f>
        <v/>
      </c>
      <c r="L26" s="54">
        <f>IF(S26="","",IF(S26&gt;5,"À décider",IF(K26&lt;=$C$5,"À faire","")))</f>
        <v/>
      </c>
      <c r="M26" s="55">
        <f>IF(F26="","",IF(N(G26)&lt;=0,0,N(C26)*$C$6*G26/365))</f>
        <v/>
      </c>
      <c r="N26" s="33">
        <f>IF(F26="","",IF(N(G26)&lt;=0,0,N($C$7)))</f>
        <v/>
      </c>
      <c r="O26" s="14" t="n"/>
      <c r="P26" s="9">
        <f>IF(OR(F26="À échoir",F26="En retard"),$C$5-D26,"")</f>
        <v/>
      </c>
      <c r="Q26" s="9">
        <f>IF(P26="","",(P26&gt;=$G$5)+(P26&gt;=$G$6)+(P26&gt;=$G$7)+(P26&gt;=$G$8)+(P26&gt;=$G$9))</f>
        <v/>
      </c>
      <c r="R26" s="9">
        <f>IF(H26="",0,IFERROR(MATCH(H26,$F$5:$F$9,0),0))</f>
        <v/>
      </c>
      <c r="S26" s="9">
        <f>IF(Q26="","",IF(R26&gt;=Q26,R26+1,Q26))</f>
        <v/>
      </c>
      <c r="T26" s="9">
        <f>IF(F26="En retard",N(C26)+26/1000000000,"")</f>
        <v/>
      </c>
    </row>
    <row r="27" ht="16" customHeight="1">
      <c r="A27" s="14" t="n"/>
      <c r="B27" s="14" t="n"/>
      <c r="C27" s="22" t="n"/>
      <c r="D27" s="17" t="n"/>
      <c r="E27" s="17" t="n"/>
      <c r="F27" s="32">
        <f>IF(AND(A27="",B27="",C27="",D27="",E27=""),"",IF(D27="","Échéance à saisir",IF(E27&lt;&gt;"",IF(E27&lt;=D27,"Payée","Payée en retard"),IF($C$5&lt;=D27,"À échoir","En retard"))))</f>
        <v/>
      </c>
      <c r="G27" s="31">
        <f>IF(OR(F27="",D27=""),"",IF(E27&lt;&gt;"",MAX(0,E27-D27),MAX(0,$C$5-D27)))</f>
        <v/>
      </c>
      <c r="H27" s="14" t="n"/>
      <c r="I27" s="17" t="n"/>
      <c r="J27" s="41">
        <f>IF(S27="","",IF(S27&gt;5,"Suite avec votre avocat",INDEX($F$5:$F$9,S27)))</f>
        <v/>
      </c>
      <c r="K27" s="20">
        <f>IF(S27="","",IF(S27&gt;5,"",D27+INDEX($G$5:$G$9,S27)))</f>
        <v/>
      </c>
      <c r="L27" s="54">
        <f>IF(S27="","",IF(S27&gt;5,"À décider",IF(K27&lt;=$C$5,"À faire","")))</f>
        <v/>
      </c>
      <c r="M27" s="55">
        <f>IF(F27="","",IF(N(G27)&lt;=0,0,N(C27)*$C$6*G27/365))</f>
        <v/>
      </c>
      <c r="N27" s="33">
        <f>IF(F27="","",IF(N(G27)&lt;=0,0,N($C$7)))</f>
        <v/>
      </c>
      <c r="O27" s="14" t="n"/>
      <c r="P27" s="9">
        <f>IF(OR(F27="À échoir",F27="En retard"),$C$5-D27,"")</f>
        <v/>
      </c>
      <c r="Q27" s="9">
        <f>IF(P27="","",(P27&gt;=$G$5)+(P27&gt;=$G$6)+(P27&gt;=$G$7)+(P27&gt;=$G$8)+(P27&gt;=$G$9))</f>
        <v/>
      </c>
      <c r="R27" s="9">
        <f>IF(H27="",0,IFERROR(MATCH(H27,$F$5:$F$9,0),0))</f>
        <v/>
      </c>
      <c r="S27" s="9">
        <f>IF(Q27="","",IF(R27&gt;=Q27,R27+1,Q27))</f>
        <v/>
      </c>
      <c r="T27" s="9">
        <f>IF(F27="En retard",N(C27)+27/1000000000,"")</f>
        <v/>
      </c>
    </row>
    <row r="28" ht="16" customHeight="1">
      <c r="A28" s="14" t="n"/>
      <c r="B28" s="14" t="n"/>
      <c r="C28" s="22" t="n"/>
      <c r="D28" s="17" t="n"/>
      <c r="E28" s="17" t="n"/>
      <c r="F28" s="32">
        <f>IF(AND(A28="",B28="",C28="",D28="",E28=""),"",IF(D28="","Échéance à saisir",IF(E28&lt;&gt;"",IF(E28&lt;=D28,"Payée","Payée en retard"),IF($C$5&lt;=D28,"À échoir","En retard"))))</f>
        <v/>
      </c>
      <c r="G28" s="31">
        <f>IF(OR(F28="",D28=""),"",IF(E28&lt;&gt;"",MAX(0,E28-D28),MAX(0,$C$5-D28)))</f>
        <v/>
      </c>
      <c r="H28" s="14" t="n"/>
      <c r="I28" s="17" t="n"/>
      <c r="J28" s="41">
        <f>IF(S28="","",IF(S28&gt;5,"Suite avec votre avocat",INDEX($F$5:$F$9,S28)))</f>
        <v/>
      </c>
      <c r="K28" s="20">
        <f>IF(S28="","",IF(S28&gt;5,"",D28+INDEX($G$5:$G$9,S28)))</f>
        <v/>
      </c>
      <c r="L28" s="54">
        <f>IF(S28="","",IF(S28&gt;5,"À décider",IF(K28&lt;=$C$5,"À faire","")))</f>
        <v/>
      </c>
      <c r="M28" s="55">
        <f>IF(F28="","",IF(N(G28)&lt;=0,0,N(C28)*$C$6*G28/365))</f>
        <v/>
      </c>
      <c r="N28" s="33">
        <f>IF(F28="","",IF(N(G28)&lt;=0,0,N($C$7)))</f>
        <v/>
      </c>
      <c r="O28" s="14" t="n"/>
      <c r="P28" s="9">
        <f>IF(OR(F28="À échoir",F28="En retard"),$C$5-D28,"")</f>
        <v/>
      </c>
      <c r="Q28" s="9">
        <f>IF(P28="","",(P28&gt;=$G$5)+(P28&gt;=$G$6)+(P28&gt;=$G$7)+(P28&gt;=$G$8)+(P28&gt;=$G$9))</f>
        <v/>
      </c>
      <c r="R28" s="9">
        <f>IF(H28="",0,IFERROR(MATCH(H28,$F$5:$F$9,0),0))</f>
        <v/>
      </c>
      <c r="S28" s="9">
        <f>IF(Q28="","",IF(R28&gt;=Q28,R28+1,Q28))</f>
        <v/>
      </c>
      <c r="T28" s="9">
        <f>IF(F28="En retard",N(C28)+28/1000000000,"")</f>
        <v/>
      </c>
    </row>
    <row r="29" ht="16" customHeight="1">
      <c r="A29" s="14" t="n"/>
      <c r="B29" s="14" t="n"/>
      <c r="C29" s="22" t="n"/>
      <c r="D29" s="17" t="n"/>
      <c r="E29" s="17" t="n"/>
      <c r="F29" s="32">
        <f>IF(AND(A29="",B29="",C29="",D29="",E29=""),"",IF(D29="","Échéance à saisir",IF(E29&lt;&gt;"",IF(E29&lt;=D29,"Payée","Payée en retard"),IF($C$5&lt;=D29,"À échoir","En retard"))))</f>
        <v/>
      </c>
      <c r="G29" s="31">
        <f>IF(OR(F29="",D29=""),"",IF(E29&lt;&gt;"",MAX(0,E29-D29),MAX(0,$C$5-D29)))</f>
        <v/>
      </c>
      <c r="H29" s="14" t="n"/>
      <c r="I29" s="17" t="n"/>
      <c r="J29" s="41">
        <f>IF(S29="","",IF(S29&gt;5,"Suite avec votre avocat",INDEX($F$5:$F$9,S29)))</f>
        <v/>
      </c>
      <c r="K29" s="20">
        <f>IF(S29="","",IF(S29&gt;5,"",D29+INDEX($G$5:$G$9,S29)))</f>
        <v/>
      </c>
      <c r="L29" s="54">
        <f>IF(S29="","",IF(S29&gt;5,"À décider",IF(K29&lt;=$C$5,"À faire","")))</f>
        <v/>
      </c>
      <c r="M29" s="55">
        <f>IF(F29="","",IF(N(G29)&lt;=0,0,N(C29)*$C$6*G29/365))</f>
        <v/>
      </c>
      <c r="N29" s="33">
        <f>IF(F29="","",IF(N(G29)&lt;=0,0,N($C$7)))</f>
        <v/>
      </c>
      <c r="O29" s="14" t="n"/>
      <c r="P29" s="9">
        <f>IF(OR(F29="À échoir",F29="En retard"),$C$5-D29,"")</f>
        <v/>
      </c>
      <c r="Q29" s="9">
        <f>IF(P29="","",(P29&gt;=$G$5)+(P29&gt;=$G$6)+(P29&gt;=$G$7)+(P29&gt;=$G$8)+(P29&gt;=$G$9))</f>
        <v/>
      </c>
      <c r="R29" s="9">
        <f>IF(H29="",0,IFERROR(MATCH(H29,$F$5:$F$9,0),0))</f>
        <v/>
      </c>
      <c r="S29" s="9">
        <f>IF(Q29="","",IF(R29&gt;=Q29,R29+1,Q29))</f>
        <v/>
      </c>
      <c r="T29" s="9">
        <f>IF(F29="En retard",N(C29)+29/1000000000,"")</f>
        <v/>
      </c>
    </row>
    <row r="30" ht="16" customHeight="1">
      <c r="A30" s="14" t="n"/>
      <c r="B30" s="14" t="n"/>
      <c r="C30" s="22" t="n"/>
      <c r="D30" s="17" t="n"/>
      <c r="E30" s="17" t="n"/>
      <c r="F30" s="32">
        <f>IF(AND(A30="",B30="",C30="",D30="",E30=""),"",IF(D30="","Échéance à saisir",IF(E30&lt;&gt;"",IF(E30&lt;=D30,"Payée","Payée en retard"),IF($C$5&lt;=D30,"À échoir","En retard"))))</f>
        <v/>
      </c>
      <c r="G30" s="31">
        <f>IF(OR(F30="",D30=""),"",IF(E30&lt;&gt;"",MAX(0,E30-D30),MAX(0,$C$5-D30)))</f>
        <v/>
      </c>
      <c r="H30" s="14" t="n"/>
      <c r="I30" s="17" t="n"/>
      <c r="J30" s="41">
        <f>IF(S30="","",IF(S30&gt;5,"Suite avec votre avocat",INDEX($F$5:$F$9,S30)))</f>
        <v/>
      </c>
      <c r="K30" s="20">
        <f>IF(S30="","",IF(S30&gt;5,"",D30+INDEX($G$5:$G$9,S30)))</f>
        <v/>
      </c>
      <c r="L30" s="54">
        <f>IF(S30="","",IF(S30&gt;5,"À décider",IF(K30&lt;=$C$5,"À faire","")))</f>
        <v/>
      </c>
      <c r="M30" s="55">
        <f>IF(F30="","",IF(N(G30)&lt;=0,0,N(C30)*$C$6*G30/365))</f>
        <v/>
      </c>
      <c r="N30" s="33">
        <f>IF(F30="","",IF(N(G30)&lt;=0,0,N($C$7)))</f>
        <v/>
      </c>
      <c r="O30" s="14" t="n"/>
      <c r="P30" s="9">
        <f>IF(OR(F30="À échoir",F30="En retard"),$C$5-D30,"")</f>
        <v/>
      </c>
      <c r="Q30" s="9">
        <f>IF(P30="","",(P30&gt;=$G$5)+(P30&gt;=$G$6)+(P30&gt;=$G$7)+(P30&gt;=$G$8)+(P30&gt;=$G$9))</f>
        <v/>
      </c>
      <c r="R30" s="9">
        <f>IF(H30="",0,IFERROR(MATCH(H30,$F$5:$F$9,0),0))</f>
        <v/>
      </c>
      <c r="S30" s="9">
        <f>IF(Q30="","",IF(R30&gt;=Q30,R30+1,Q30))</f>
        <v/>
      </c>
      <c r="T30" s="9">
        <f>IF(F30="En retard",N(C30)+30/1000000000,"")</f>
        <v/>
      </c>
    </row>
    <row r="31" ht="16" customHeight="1">
      <c r="A31" s="14" t="n"/>
      <c r="B31" s="14" t="n"/>
      <c r="C31" s="22" t="n"/>
      <c r="D31" s="17" t="n"/>
      <c r="E31" s="17" t="n"/>
      <c r="F31" s="32">
        <f>IF(AND(A31="",B31="",C31="",D31="",E31=""),"",IF(D31="","Échéance à saisir",IF(E31&lt;&gt;"",IF(E31&lt;=D31,"Payée","Payée en retard"),IF($C$5&lt;=D31,"À échoir","En retard"))))</f>
        <v/>
      </c>
      <c r="G31" s="31">
        <f>IF(OR(F31="",D31=""),"",IF(E31&lt;&gt;"",MAX(0,E31-D31),MAX(0,$C$5-D31)))</f>
        <v/>
      </c>
      <c r="H31" s="14" t="n"/>
      <c r="I31" s="17" t="n"/>
      <c r="J31" s="41">
        <f>IF(S31="","",IF(S31&gt;5,"Suite avec votre avocat",INDEX($F$5:$F$9,S31)))</f>
        <v/>
      </c>
      <c r="K31" s="20">
        <f>IF(S31="","",IF(S31&gt;5,"",D31+INDEX($G$5:$G$9,S31)))</f>
        <v/>
      </c>
      <c r="L31" s="54">
        <f>IF(S31="","",IF(S31&gt;5,"À décider",IF(K31&lt;=$C$5,"À faire","")))</f>
        <v/>
      </c>
      <c r="M31" s="55">
        <f>IF(F31="","",IF(N(G31)&lt;=0,0,N(C31)*$C$6*G31/365))</f>
        <v/>
      </c>
      <c r="N31" s="33">
        <f>IF(F31="","",IF(N(G31)&lt;=0,0,N($C$7)))</f>
        <v/>
      </c>
      <c r="O31" s="14" t="n"/>
      <c r="P31" s="9">
        <f>IF(OR(F31="À échoir",F31="En retard"),$C$5-D31,"")</f>
        <v/>
      </c>
      <c r="Q31" s="9">
        <f>IF(P31="","",(P31&gt;=$G$5)+(P31&gt;=$G$6)+(P31&gt;=$G$7)+(P31&gt;=$G$8)+(P31&gt;=$G$9))</f>
        <v/>
      </c>
      <c r="R31" s="9">
        <f>IF(H31="",0,IFERROR(MATCH(H31,$F$5:$F$9,0),0))</f>
        <v/>
      </c>
      <c r="S31" s="9">
        <f>IF(Q31="","",IF(R31&gt;=Q31,R31+1,Q31))</f>
        <v/>
      </c>
      <c r="T31" s="9">
        <f>IF(F31="En retard",N(C31)+31/1000000000,"")</f>
        <v/>
      </c>
    </row>
    <row r="32" ht="16" customHeight="1">
      <c r="A32" s="14" t="n"/>
      <c r="B32" s="14" t="n"/>
      <c r="C32" s="22" t="n"/>
      <c r="D32" s="17" t="n"/>
      <c r="E32" s="17" t="n"/>
      <c r="F32" s="32">
        <f>IF(AND(A32="",B32="",C32="",D32="",E32=""),"",IF(D32="","Échéance à saisir",IF(E32&lt;&gt;"",IF(E32&lt;=D32,"Payée","Payée en retard"),IF($C$5&lt;=D32,"À échoir","En retard"))))</f>
        <v/>
      </c>
      <c r="G32" s="31">
        <f>IF(OR(F32="",D32=""),"",IF(E32&lt;&gt;"",MAX(0,E32-D32),MAX(0,$C$5-D32)))</f>
        <v/>
      </c>
      <c r="H32" s="14" t="n"/>
      <c r="I32" s="17" t="n"/>
      <c r="J32" s="41">
        <f>IF(S32="","",IF(S32&gt;5,"Suite avec votre avocat",INDEX($F$5:$F$9,S32)))</f>
        <v/>
      </c>
      <c r="K32" s="20">
        <f>IF(S32="","",IF(S32&gt;5,"",D32+INDEX($G$5:$G$9,S32)))</f>
        <v/>
      </c>
      <c r="L32" s="54">
        <f>IF(S32="","",IF(S32&gt;5,"À décider",IF(K32&lt;=$C$5,"À faire","")))</f>
        <v/>
      </c>
      <c r="M32" s="55">
        <f>IF(F32="","",IF(N(G32)&lt;=0,0,N(C32)*$C$6*G32/365))</f>
        <v/>
      </c>
      <c r="N32" s="33">
        <f>IF(F32="","",IF(N(G32)&lt;=0,0,N($C$7)))</f>
        <v/>
      </c>
      <c r="O32" s="14" t="n"/>
      <c r="P32" s="9">
        <f>IF(OR(F32="À échoir",F32="En retard"),$C$5-D32,"")</f>
        <v/>
      </c>
      <c r="Q32" s="9">
        <f>IF(P32="","",(P32&gt;=$G$5)+(P32&gt;=$G$6)+(P32&gt;=$G$7)+(P32&gt;=$G$8)+(P32&gt;=$G$9))</f>
        <v/>
      </c>
      <c r="R32" s="9">
        <f>IF(H32="",0,IFERROR(MATCH(H32,$F$5:$F$9,0),0))</f>
        <v/>
      </c>
      <c r="S32" s="9">
        <f>IF(Q32="","",IF(R32&gt;=Q32,R32+1,Q32))</f>
        <v/>
      </c>
      <c r="T32" s="9">
        <f>IF(F32="En retard",N(C32)+32/1000000000,"")</f>
        <v/>
      </c>
    </row>
    <row r="33" ht="16" customHeight="1">
      <c r="A33" s="14" t="n"/>
      <c r="B33" s="14" t="n"/>
      <c r="C33" s="22" t="n"/>
      <c r="D33" s="17" t="n"/>
      <c r="E33" s="17" t="n"/>
      <c r="F33" s="32">
        <f>IF(AND(A33="",B33="",C33="",D33="",E33=""),"",IF(D33="","Échéance à saisir",IF(E33&lt;&gt;"",IF(E33&lt;=D33,"Payée","Payée en retard"),IF($C$5&lt;=D33,"À échoir","En retard"))))</f>
        <v/>
      </c>
      <c r="G33" s="31">
        <f>IF(OR(F33="",D33=""),"",IF(E33&lt;&gt;"",MAX(0,E33-D33),MAX(0,$C$5-D33)))</f>
        <v/>
      </c>
      <c r="H33" s="14" t="n"/>
      <c r="I33" s="17" t="n"/>
      <c r="J33" s="41">
        <f>IF(S33="","",IF(S33&gt;5,"Suite avec votre avocat",INDEX($F$5:$F$9,S33)))</f>
        <v/>
      </c>
      <c r="K33" s="20">
        <f>IF(S33="","",IF(S33&gt;5,"",D33+INDEX($G$5:$G$9,S33)))</f>
        <v/>
      </c>
      <c r="L33" s="54">
        <f>IF(S33="","",IF(S33&gt;5,"À décider",IF(K33&lt;=$C$5,"À faire","")))</f>
        <v/>
      </c>
      <c r="M33" s="55">
        <f>IF(F33="","",IF(N(G33)&lt;=0,0,N(C33)*$C$6*G33/365))</f>
        <v/>
      </c>
      <c r="N33" s="33">
        <f>IF(F33="","",IF(N(G33)&lt;=0,0,N($C$7)))</f>
        <v/>
      </c>
      <c r="O33" s="14" t="n"/>
      <c r="P33" s="9">
        <f>IF(OR(F33="À échoir",F33="En retard"),$C$5-D33,"")</f>
        <v/>
      </c>
      <c r="Q33" s="9">
        <f>IF(P33="","",(P33&gt;=$G$5)+(P33&gt;=$G$6)+(P33&gt;=$G$7)+(P33&gt;=$G$8)+(P33&gt;=$G$9))</f>
        <v/>
      </c>
      <c r="R33" s="9">
        <f>IF(H33="",0,IFERROR(MATCH(H33,$F$5:$F$9,0),0))</f>
        <v/>
      </c>
      <c r="S33" s="9">
        <f>IF(Q33="","",IF(R33&gt;=Q33,R33+1,Q33))</f>
        <v/>
      </c>
      <c r="T33" s="9">
        <f>IF(F33="En retard",N(C33)+33/1000000000,"")</f>
        <v/>
      </c>
    </row>
    <row r="34" ht="16" customHeight="1">
      <c r="A34" s="14" t="n"/>
      <c r="B34" s="14" t="n"/>
      <c r="C34" s="22" t="n"/>
      <c r="D34" s="17" t="n"/>
      <c r="E34" s="17" t="n"/>
      <c r="F34" s="32">
        <f>IF(AND(A34="",B34="",C34="",D34="",E34=""),"",IF(D34="","Échéance à saisir",IF(E34&lt;&gt;"",IF(E34&lt;=D34,"Payée","Payée en retard"),IF($C$5&lt;=D34,"À échoir","En retard"))))</f>
        <v/>
      </c>
      <c r="G34" s="31">
        <f>IF(OR(F34="",D34=""),"",IF(E34&lt;&gt;"",MAX(0,E34-D34),MAX(0,$C$5-D34)))</f>
        <v/>
      </c>
      <c r="H34" s="14" t="n"/>
      <c r="I34" s="17" t="n"/>
      <c r="J34" s="41">
        <f>IF(S34="","",IF(S34&gt;5,"Suite avec votre avocat",INDEX($F$5:$F$9,S34)))</f>
        <v/>
      </c>
      <c r="K34" s="20">
        <f>IF(S34="","",IF(S34&gt;5,"",D34+INDEX($G$5:$G$9,S34)))</f>
        <v/>
      </c>
      <c r="L34" s="54">
        <f>IF(S34="","",IF(S34&gt;5,"À décider",IF(K34&lt;=$C$5,"À faire","")))</f>
        <v/>
      </c>
      <c r="M34" s="55">
        <f>IF(F34="","",IF(N(G34)&lt;=0,0,N(C34)*$C$6*G34/365))</f>
        <v/>
      </c>
      <c r="N34" s="33">
        <f>IF(F34="","",IF(N(G34)&lt;=0,0,N($C$7)))</f>
        <v/>
      </c>
      <c r="O34" s="14" t="n"/>
      <c r="P34" s="9">
        <f>IF(OR(F34="À échoir",F34="En retard"),$C$5-D34,"")</f>
        <v/>
      </c>
      <c r="Q34" s="9">
        <f>IF(P34="","",(P34&gt;=$G$5)+(P34&gt;=$G$6)+(P34&gt;=$G$7)+(P34&gt;=$G$8)+(P34&gt;=$G$9))</f>
        <v/>
      </c>
      <c r="R34" s="9">
        <f>IF(H34="",0,IFERROR(MATCH(H34,$F$5:$F$9,0),0))</f>
        <v/>
      </c>
      <c r="S34" s="9">
        <f>IF(Q34="","",IF(R34&gt;=Q34,R34+1,Q34))</f>
        <v/>
      </c>
      <c r="T34" s="9">
        <f>IF(F34="En retard",N(C34)+34/1000000000,"")</f>
        <v/>
      </c>
    </row>
    <row r="35" ht="16" customHeight="1">
      <c r="A35" s="14" t="n"/>
      <c r="B35" s="14" t="n"/>
      <c r="C35" s="22" t="n"/>
      <c r="D35" s="17" t="n"/>
      <c r="E35" s="17" t="n"/>
      <c r="F35" s="32">
        <f>IF(AND(A35="",B35="",C35="",D35="",E35=""),"",IF(D35="","Échéance à saisir",IF(E35&lt;&gt;"",IF(E35&lt;=D35,"Payée","Payée en retard"),IF($C$5&lt;=D35,"À échoir","En retard"))))</f>
        <v/>
      </c>
      <c r="G35" s="31">
        <f>IF(OR(F35="",D35=""),"",IF(E35&lt;&gt;"",MAX(0,E35-D35),MAX(0,$C$5-D35)))</f>
        <v/>
      </c>
      <c r="H35" s="14" t="n"/>
      <c r="I35" s="17" t="n"/>
      <c r="J35" s="41">
        <f>IF(S35="","",IF(S35&gt;5,"Suite avec votre avocat",INDEX($F$5:$F$9,S35)))</f>
        <v/>
      </c>
      <c r="K35" s="20">
        <f>IF(S35="","",IF(S35&gt;5,"",D35+INDEX($G$5:$G$9,S35)))</f>
        <v/>
      </c>
      <c r="L35" s="54">
        <f>IF(S35="","",IF(S35&gt;5,"À décider",IF(K35&lt;=$C$5,"À faire","")))</f>
        <v/>
      </c>
      <c r="M35" s="55">
        <f>IF(F35="","",IF(N(G35)&lt;=0,0,N(C35)*$C$6*G35/365))</f>
        <v/>
      </c>
      <c r="N35" s="33">
        <f>IF(F35="","",IF(N(G35)&lt;=0,0,N($C$7)))</f>
        <v/>
      </c>
      <c r="O35" s="14" t="n"/>
      <c r="P35" s="9">
        <f>IF(OR(F35="À échoir",F35="En retard"),$C$5-D35,"")</f>
        <v/>
      </c>
      <c r="Q35" s="9">
        <f>IF(P35="","",(P35&gt;=$G$5)+(P35&gt;=$G$6)+(P35&gt;=$G$7)+(P35&gt;=$G$8)+(P35&gt;=$G$9))</f>
        <v/>
      </c>
      <c r="R35" s="9">
        <f>IF(H35="",0,IFERROR(MATCH(H35,$F$5:$F$9,0),0))</f>
        <v/>
      </c>
      <c r="S35" s="9">
        <f>IF(Q35="","",IF(R35&gt;=Q35,R35+1,Q35))</f>
        <v/>
      </c>
      <c r="T35" s="9">
        <f>IF(F35="En retard",N(C35)+35/1000000000,"")</f>
        <v/>
      </c>
    </row>
    <row r="36" ht="16" customHeight="1">
      <c r="A36" s="14" t="n"/>
      <c r="B36" s="14" t="n"/>
      <c r="C36" s="22" t="n"/>
      <c r="D36" s="17" t="n"/>
      <c r="E36" s="17" t="n"/>
      <c r="F36" s="32">
        <f>IF(AND(A36="",B36="",C36="",D36="",E36=""),"",IF(D36="","Échéance à saisir",IF(E36&lt;&gt;"",IF(E36&lt;=D36,"Payée","Payée en retard"),IF($C$5&lt;=D36,"À échoir","En retard"))))</f>
        <v/>
      </c>
      <c r="G36" s="31">
        <f>IF(OR(F36="",D36=""),"",IF(E36&lt;&gt;"",MAX(0,E36-D36),MAX(0,$C$5-D36)))</f>
        <v/>
      </c>
      <c r="H36" s="14" t="n"/>
      <c r="I36" s="17" t="n"/>
      <c r="J36" s="41">
        <f>IF(S36="","",IF(S36&gt;5,"Suite avec votre avocat",INDEX($F$5:$F$9,S36)))</f>
        <v/>
      </c>
      <c r="K36" s="20">
        <f>IF(S36="","",IF(S36&gt;5,"",D36+INDEX($G$5:$G$9,S36)))</f>
        <v/>
      </c>
      <c r="L36" s="54">
        <f>IF(S36="","",IF(S36&gt;5,"À décider",IF(K36&lt;=$C$5,"À faire","")))</f>
        <v/>
      </c>
      <c r="M36" s="55">
        <f>IF(F36="","",IF(N(G36)&lt;=0,0,N(C36)*$C$6*G36/365))</f>
        <v/>
      </c>
      <c r="N36" s="33">
        <f>IF(F36="","",IF(N(G36)&lt;=0,0,N($C$7)))</f>
        <v/>
      </c>
      <c r="O36" s="14" t="n"/>
      <c r="P36" s="9">
        <f>IF(OR(F36="À échoir",F36="En retard"),$C$5-D36,"")</f>
        <v/>
      </c>
      <c r="Q36" s="9">
        <f>IF(P36="","",(P36&gt;=$G$5)+(P36&gt;=$G$6)+(P36&gt;=$G$7)+(P36&gt;=$G$8)+(P36&gt;=$G$9))</f>
        <v/>
      </c>
      <c r="R36" s="9">
        <f>IF(H36="",0,IFERROR(MATCH(H36,$F$5:$F$9,0),0))</f>
        <v/>
      </c>
      <c r="S36" s="9">
        <f>IF(Q36="","",IF(R36&gt;=Q36,R36+1,Q36))</f>
        <v/>
      </c>
      <c r="T36" s="9">
        <f>IF(F36="En retard",N(C36)+36/1000000000,"")</f>
        <v/>
      </c>
    </row>
    <row r="37" ht="16" customHeight="1">
      <c r="A37" s="14" t="n"/>
      <c r="B37" s="14" t="n"/>
      <c r="C37" s="22" t="n"/>
      <c r="D37" s="17" t="n"/>
      <c r="E37" s="17" t="n"/>
      <c r="F37" s="32">
        <f>IF(AND(A37="",B37="",C37="",D37="",E37=""),"",IF(D37="","Échéance à saisir",IF(E37&lt;&gt;"",IF(E37&lt;=D37,"Payée","Payée en retard"),IF($C$5&lt;=D37,"À échoir","En retard"))))</f>
        <v/>
      </c>
      <c r="G37" s="31">
        <f>IF(OR(F37="",D37=""),"",IF(E37&lt;&gt;"",MAX(0,E37-D37),MAX(0,$C$5-D37)))</f>
        <v/>
      </c>
      <c r="H37" s="14" t="n"/>
      <c r="I37" s="17" t="n"/>
      <c r="J37" s="41">
        <f>IF(S37="","",IF(S37&gt;5,"Suite avec votre avocat",INDEX($F$5:$F$9,S37)))</f>
        <v/>
      </c>
      <c r="K37" s="20">
        <f>IF(S37="","",IF(S37&gt;5,"",D37+INDEX($G$5:$G$9,S37)))</f>
        <v/>
      </c>
      <c r="L37" s="54">
        <f>IF(S37="","",IF(S37&gt;5,"À décider",IF(K37&lt;=$C$5,"À faire","")))</f>
        <v/>
      </c>
      <c r="M37" s="55">
        <f>IF(F37="","",IF(N(G37)&lt;=0,0,N(C37)*$C$6*G37/365))</f>
        <v/>
      </c>
      <c r="N37" s="33">
        <f>IF(F37="","",IF(N(G37)&lt;=0,0,N($C$7)))</f>
        <v/>
      </c>
      <c r="O37" s="14" t="n"/>
      <c r="P37" s="9">
        <f>IF(OR(F37="À échoir",F37="En retard"),$C$5-D37,"")</f>
        <v/>
      </c>
      <c r="Q37" s="9">
        <f>IF(P37="","",(P37&gt;=$G$5)+(P37&gt;=$G$6)+(P37&gt;=$G$7)+(P37&gt;=$G$8)+(P37&gt;=$G$9))</f>
        <v/>
      </c>
      <c r="R37" s="9">
        <f>IF(H37="",0,IFERROR(MATCH(H37,$F$5:$F$9,0),0))</f>
        <v/>
      </c>
      <c r="S37" s="9">
        <f>IF(Q37="","",IF(R37&gt;=Q37,R37+1,Q37))</f>
        <v/>
      </c>
      <c r="T37" s="9">
        <f>IF(F37="En retard",N(C37)+37/1000000000,"")</f>
        <v/>
      </c>
    </row>
    <row r="38" ht="16" customHeight="1">
      <c r="A38" s="14" t="n"/>
      <c r="B38" s="14" t="n"/>
      <c r="C38" s="22" t="n"/>
      <c r="D38" s="17" t="n"/>
      <c r="E38" s="17" t="n"/>
      <c r="F38" s="32">
        <f>IF(AND(A38="",B38="",C38="",D38="",E38=""),"",IF(D38="","Échéance à saisir",IF(E38&lt;&gt;"",IF(E38&lt;=D38,"Payée","Payée en retard"),IF($C$5&lt;=D38,"À échoir","En retard"))))</f>
        <v/>
      </c>
      <c r="G38" s="31">
        <f>IF(OR(F38="",D38=""),"",IF(E38&lt;&gt;"",MAX(0,E38-D38),MAX(0,$C$5-D38)))</f>
        <v/>
      </c>
      <c r="H38" s="14" t="n"/>
      <c r="I38" s="17" t="n"/>
      <c r="J38" s="41">
        <f>IF(S38="","",IF(S38&gt;5,"Suite avec votre avocat",INDEX($F$5:$F$9,S38)))</f>
        <v/>
      </c>
      <c r="K38" s="20">
        <f>IF(S38="","",IF(S38&gt;5,"",D38+INDEX($G$5:$G$9,S38)))</f>
        <v/>
      </c>
      <c r="L38" s="54">
        <f>IF(S38="","",IF(S38&gt;5,"À décider",IF(K38&lt;=$C$5,"À faire","")))</f>
        <v/>
      </c>
      <c r="M38" s="55">
        <f>IF(F38="","",IF(N(G38)&lt;=0,0,N(C38)*$C$6*G38/365))</f>
        <v/>
      </c>
      <c r="N38" s="33">
        <f>IF(F38="","",IF(N(G38)&lt;=0,0,N($C$7)))</f>
        <v/>
      </c>
      <c r="O38" s="14" t="n"/>
      <c r="P38" s="9">
        <f>IF(OR(F38="À échoir",F38="En retard"),$C$5-D38,"")</f>
        <v/>
      </c>
      <c r="Q38" s="9">
        <f>IF(P38="","",(P38&gt;=$G$5)+(P38&gt;=$G$6)+(P38&gt;=$G$7)+(P38&gt;=$G$8)+(P38&gt;=$G$9))</f>
        <v/>
      </c>
      <c r="R38" s="9">
        <f>IF(H38="",0,IFERROR(MATCH(H38,$F$5:$F$9,0),0))</f>
        <v/>
      </c>
      <c r="S38" s="9">
        <f>IF(Q38="","",IF(R38&gt;=Q38,R38+1,Q38))</f>
        <v/>
      </c>
      <c r="T38" s="9">
        <f>IF(F38="En retard",N(C38)+38/1000000000,"")</f>
        <v/>
      </c>
    </row>
    <row r="39" ht="16" customHeight="1">
      <c r="A39" s="14" t="n"/>
      <c r="B39" s="14" t="n"/>
      <c r="C39" s="22" t="n"/>
      <c r="D39" s="17" t="n"/>
      <c r="E39" s="17" t="n"/>
      <c r="F39" s="32">
        <f>IF(AND(A39="",B39="",C39="",D39="",E39=""),"",IF(D39="","Échéance à saisir",IF(E39&lt;&gt;"",IF(E39&lt;=D39,"Payée","Payée en retard"),IF($C$5&lt;=D39,"À échoir","En retard"))))</f>
        <v/>
      </c>
      <c r="G39" s="31">
        <f>IF(OR(F39="",D39=""),"",IF(E39&lt;&gt;"",MAX(0,E39-D39),MAX(0,$C$5-D39)))</f>
        <v/>
      </c>
      <c r="H39" s="14" t="n"/>
      <c r="I39" s="17" t="n"/>
      <c r="J39" s="41">
        <f>IF(S39="","",IF(S39&gt;5,"Suite avec votre avocat",INDEX($F$5:$F$9,S39)))</f>
        <v/>
      </c>
      <c r="K39" s="20">
        <f>IF(S39="","",IF(S39&gt;5,"",D39+INDEX($G$5:$G$9,S39)))</f>
        <v/>
      </c>
      <c r="L39" s="54">
        <f>IF(S39="","",IF(S39&gt;5,"À décider",IF(K39&lt;=$C$5,"À faire","")))</f>
        <v/>
      </c>
      <c r="M39" s="55">
        <f>IF(F39="","",IF(N(G39)&lt;=0,0,N(C39)*$C$6*G39/365))</f>
        <v/>
      </c>
      <c r="N39" s="33">
        <f>IF(F39="","",IF(N(G39)&lt;=0,0,N($C$7)))</f>
        <v/>
      </c>
      <c r="O39" s="14" t="n"/>
      <c r="P39" s="9">
        <f>IF(OR(F39="À échoir",F39="En retard"),$C$5-D39,"")</f>
        <v/>
      </c>
      <c r="Q39" s="9">
        <f>IF(P39="","",(P39&gt;=$G$5)+(P39&gt;=$G$6)+(P39&gt;=$G$7)+(P39&gt;=$G$8)+(P39&gt;=$G$9))</f>
        <v/>
      </c>
      <c r="R39" s="9">
        <f>IF(H39="",0,IFERROR(MATCH(H39,$F$5:$F$9,0),0))</f>
        <v/>
      </c>
      <c r="S39" s="9">
        <f>IF(Q39="","",IF(R39&gt;=Q39,R39+1,Q39))</f>
        <v/>
      </c>
      <c r="T39" s="9">
        <f>IF(F39="En retard",N(C39)+39/1000000000,"")</f>
        <v/>
      </c>
    </row>
    <row r="40" ht="16" customHeight="1">
      <c r="A40" s="14" t="n"/>
      <c r="B40" s="14" t="n"/>
      <c r="C40" s="22" t="n"/>
      <c r="D40" s="17" t="n"/>
      <c r="E40" s="17" t="n"/>
      <c r="F40" s="32">
        <f>IF(AND(A40="",B40="",C40="",D40="",E40=""),"",IF(D40="","Échéance à saisir",IF(E40&lt;&gt;"",IF(E40&lt;=D40,"Payée","Payée en retard"),IF($C$5&lt;=D40,"À échoir","En retard"))))</f>
        <v/>
      </c>
      <c r="G40" s="31">
        <f>IF(OR(F40="",D40=""),"",IF(E40&lt;&gt;"",MAX(0,E40-D40),MAX(0,$C$5-D40)))</f>
        <v/>
      </c>
      <c r="H40" s="14" t="n"/>
      <c r="I40" s="17" t="n"/>
      <c r="J40" s="41">
        <f>IF(S40="","",IF(S40&gt;5,"Suite avec votre avocat",INDEX($F$5:$F$9,S40)))</f>
        <v/>
      </c>
      <c r="K40" s="20">
        <f>IF(S40="","",IF(S40&gt;5,"",D40+INDEX($G$5:$G$9,S40)))</f>
        <v/>
      </c>
      <c r="L40" s="54">
        <f>IF(S40="","",IF(S40&gt;5,"À décider",IF(K40&lt;=$C$5,"À faire","")))</f>
        <v/>
      </c>
      <c r="M40" s="55">
        <f>IF(F40="","",IF(N(G40)&lt;=0,0,N(C40)*$C$6*G40/365))</f>
        <v/>
      </c>
      <c r="N40" s="33">
        <f>IF(F40="","",IF(N(G40)&lt;=0,0,N($C$7)))</f>
        <v/>
      </c>
      <c r="O40" s="14" t="n"/>
      <c r="P40" s="9">
        <f>IF(OR(F40="À échoir",F40="En retard"),$C$5-D40,"")</f>
        <v/>
      </c>
      <c r="Q40" s="9">
        <f>IF(P40="","",(P40&gt;=$G$5)+(P40&gt;=$G$6)+(P40&gt;=$G$7)+(P40&gt;=$G$8)+(P40&gt;=$G$9))</f>
        <v/>
      </c>
      <c r="R40" s="9">
        <f>IF(H40="",0,IFERROR(MATCH(H40,$F$5:$F$9,0),0))</f>
        <v/>
      </c>
      <c r="S40" s="9">
        <f>IF(Q40="","",IF(R40&gt;=Q40,R40+1,Q40))</f>
        <v/>
      </c>
      <c r="T40" s="9">
        <f>IF(F40="En retard",N(C40)+40/1000000000,"")</f>
        <v/>
      </c>
    </row>
    <row r="41" ht="16" customHeight="1">
      <c r="A41" s="14" t="n"/>
      <c r="B41" s="14" t="n"/>
      <c r="C41" s="22" t="n"/>
      <c r="D41" s="17" t="n"/>
      <c r="E41" s="17" t="n"/>
      <c r="F41" s="32">
        <f>IF(AND(A41="",B41="",C41="",D41="",E41=""),"",IF(D41="","Échéance à saisir",IF(E41&lt;&gt;"",IF(E41&lt;=D41,"Payée","Payée en retard"),IF($C$5&lt;=D41,"À échoir","En retard"))))</f>
        <v/>
      </c>
      <c r="G41" s="31">
        <f>IF(OR(F41="",D41=""),"",IF(E41&lt;&gt;"",MAX(0,E41-D41),MAX(0,$C$5-D41)))</f>
        <v/>
      </c>
      <c r="H41" s="14" t="n"/>
      <c r="I41" s="17" t="n"/>
      <c r="J41" s="41">
        <f>IF(S41="","",IF(S41&gt;5,"Suite avec votre avocat",INDEX($F$5:$F$9,S41)))</f>
        <v/>
      </c>
      <c r="K41" s="20">
        <f>IF(S41="","",IF(S41&gt;5,"",D41+INDEX($G$5:$G$9,S41)))</f>
        <v/>
      </c>
      <c r="L41" s="54">
        <f>IF(S41="","",IF(S41&gt;5,"À décider",IF(K41&lt;=$C$5,"À faire","")))</f>
        <v/>
      </c>
      <c r="M41" s="55">
        <f>IF(F41="","",IF(N(G41)&lt;=0,0,N(C41)*$C$6*G41/365))</f>
        <v/>
      </c>
      <c r="N41" s="33">
        <f>IF(F41="","",IF(N(G41)&lt;=0,0,N($C$7)))</f>
        <v/>
      </c>
      <c r="O41" s="14" t="n"/>
      <c r="P41" s="9">
        <f>IF(OR(F41="À échoir",F41="En retard"),$C$5-D41,"")</f>
        <v/>
      </c>
      <c r="Q41" s="9">
        <f>IF(P41="","",(P41&gt;=$G$5)+(P41&gt;=$G$6)+(P41&gt;=$G$7)+(P41&gt;=$G$8)+(P41&gt;=$G$9))</f>
        <v/>
      </c>
      <c r="R41" s="9">
        <f>IF(H41="",0,IFERROR(MATCH(H41,$F$5:$F$9,0),0))</f>
        <v/>
      </c>
      <c r="S41" s="9">
        <f>IF(Q41="","",IF(R41&gt;=Q41,R41+1,Q41))</f>
        <v/>
      </c>
      <c r="T41" s="9">
        <f>IF(F41="En retard",N(C41)+41/1000000000,"")</f>
        <v/>
      </c>
    </row>
    <row r="42" ht="16" customHeight="1">
      <c r="A42" s="14" t="n"/>
      <c r="B42" s="14" t="n"/>
      <c r="C42" s="22" t="n"/>
      <c r="D42" s="17" t="n"/>
      <c r="E42" s="17" t="n"/>
      <c r="F42" s="32">
        <f>IF(AND(A42="",B42="",C42="",D42="",E42=""),"",IF(D42="","Échéance à saisir",IF(E42&lt;&gt;"",IF(E42&lt;=D42,"Payée","Payée en retard"),IF($C$5&lt;=D42,"À échoir","En retard"))))</f>
        <v/>
      </c>
      <c r="G42" s="31">
        <f>IF(OR(F42="",D42=""),"",IF(E42&lt;&gt;"",MAX(0,E42-D42),MAX(0,$C$5-D42)))</f>
        <v/>
      </c>
      <c r="H42" s="14" t="n"/>
      <c r="I42" s="17" t="n"/>
      <c r="J42" s="41">
        <f>IF(S42="","",IF(S42&gt;5,"Suite avec votre avocat",INDEX($F$5:$F$9,S42)))</f>
        <v/>
      </c>
      <c r="K42" s="20">
        <f>IF(S42="","",IF(S42&gt;5,"",D42+INDEX($G$5:$G$9,S42)))</f>
        <v/>
      </c>
      <c r="L42" s="54">
        <f>IF(S42="","",IF(S42&gt;5,"À décider",IF(K42&lt;=$C$5,"À faire","")))</f>
        <v/>
      </c>
      <c r="M42" s="55">
        <f>IF(F42="","",IF(N(G42)&lt;=0,0,N(C42)*$C$6*G42/365))</f>
        <v/>
      </c>
      <c r="N42" s="33">
        <f>IF(F42="","",IF(N(G42)&lt;=0,0,N($C$7)))</f>
        <v/>
      </c>
      <c r="O42" s="14" t="n"/>
      <c r="P42" s="9">
        <f>IF(OR(F42="À échoir",F42="En retard"),$C$5-D42,"")</f>
        <v/>
      </c>
      <c r="Q42" s="9">
        <f>IF(P42="","",(P42&gt;=$G$5)+(P42&gt;=$G$6)+(P42&gt;=$G$7)+(P42&gt;=$G$8)+(P42&gt;=$G$9))</f>
        <v/>
      </c>
      <c r="R42" s="9">
        <f>IF(H42="",0,IFERROR(MATCH(H42,$F$5:$F$9,0),0))</f>
        <v/>
      </c>
      <c r="S42" s="9">
        <f>IF(Q42="","",IF(R42&gt;=Q42,R42+1,Q42))</f>
        <v/>
      </c>
      <c r="T42" s="9">
        <f>IF(F42="En retard",N(C42)+42/1000000000,"")</f>
        <v/>
      </c>
    </row>
    <row r="43" ht="16" customHeight="1">
      <c r="A43" s="14" t="n"/>
      <c r="B43" s="14" t="n"/>
      <c r="C43" s="22" t="n"/>
      <c r="D43" s="17" t="n"/>
      <c r="E43" s="17" t="n"/>
      <c r="F43" s="32">
        <f>IF(AND(A43="",B43="",C43="",D43="",E43=""),"",IF(D43="","Échéance à saisir",IF(E43&lt;&gt;"",IF(E43&lt;=D43,"Payée","Payée en retard"),IF($C$5&lt;=D43,"À échoir","En retard"))))</f>
        <v/>
      </c>
      <c r="G43" s="31">
        <f>IF(OR(F43="",D43=""),"",IF(E43&lt;&gt;"",MAX(0,E43-D43),MAX(0,$C$5-D43)))</f>
        <v/>
      </c>
      <c r="H43" s="14" t="n"/>
      <c r="I43" s="17" t="n"/>
      <c r="J43" s="41">
        <f>IF(S43="","",IF(S43&gt;5,"Suite avec votre avocat",INDEX($F$5:$F$9,S43)))</f>
        <v/>
      </c>
      <c r="K43" s="20">
        <f>IF(S43="","",IF(S43&gt;5,"",D43+INDEX($G$5:$G$9,S43)))</f>
        <v/>
      </c>
      <c r="L43" s="54">
        <f>IF(S43="","",IF(S43&gt;5,"À décider",IF(K43&lt;=$C$5,"À faire","")))</f>
        <v/>
      </c>
      <c r="M43" s="55">
        <f>IF(F43="","",IF(N(G43)&lt;=0,0,N(C43)*$C$6*G43/365))</f>
        <v/>
      </c>
      <c r="N43" s="33">
        <f>IF(F43="","",IF(N(G43)&lt;=0,0,N($C$7)))</f>
        <v/>
      </c>
      <c r="O43" s="14" t="n"/>
      <c r="P43" s="9">
        <f>IF(OR(F43="À échoir",F43="En retard"),$C$5-D43,"")</f>
        <v/>
      </c>
      <c r="Q43" s="9">
        <f>IF(P43="","",(P43&gt;=$G$5)+(P43&gt;=$G$6)+(P43&gt;=$G$7)+(P43&gt;=$G$8)+(P43&gt;=$G$9))</f>
        <v/>
      </c>
      <c r="R43" s="9">
        <f>IF(H43="",0,IFERROR(MATCH(H43,$F$5:$F$9,0),0))</f>
        <v/>
      </c>
      <c r="S43" s="9">
        <f>IF(Q43="","",IF(R43&gt;=Q43,R43+1,Q43))</f>
        <v/>
      </c>
      <c r="T43" s="9">
        <f>IF(F43="En retard",N(C43)+43/1000000000,"")</f>
        <v/>
      </c>
    </row>
    <row r="44" ht="16" customHeight="1">
      <c r="A44" s="14" t="n"/>
      <c r="B44" s="14" t="n"/>
      <c r="C44" s="22" t="n"/>
      <c r="D44" s="17" t="n"/>
      <c r="E44" s="17" t="n"/>
      <c r="F44" s="32">
        <f>IF(AND(A44="",B44="",C44="",D44="",E44=""),"",IF(D44="","Échéance à saisir",IF(E44&lt;&gt;"",IF(E44&lt;=D44,"Payée","Payée en retard"),IF($C$5&lt;=D44,"À échoir","En retard"))))</f>
        <v/>
      </c>
      <c r="G44" s="31">
        <f>IF(OR(F44="",D44=""),"",IF(E44&lt;&gt;"",MAX(0,E44-D44),MAX(0,$C$5-D44)))</f>
        <v/>
      </c>
      <c r="H44" s="14" t="n"/>
      <c r="I44" s="17" t="n"/>
      <c r="J44" s="41">
        <f>IF(S44="","",IF(S44&gt;5,"Suite avec votre avocat",INDEX($F$5:$F$9,S44)))</f>
        <v/>
      </c>
      <c r="K44" s="20">
        <f>IF(S44="","",IF(S44&gt;5,"",D44+INDEX($G$5:$G$9,S44)))</f>
        <v/>
      </c>
      <c r="L44" s="54">
        <f>IF(S44="","",IF(S44&gt;5,"À décider",IF(K44&lt;=$C$5,"À faire","")))</f>
        <v/>
      </c>
      <c r="M44" s="55">
        <f>IF(F44="","",IF(N(G44)&lt;=0,0,N(C44)*$C$6*G44/365))</f>
        <v/>
      </c>
      <c r="N44" s="33">
        <f>IF(F44="","",IF(N(G44)&lt;=0,0,N($C$7)))</f>
        <v/>
      </c>
      <c r="O44" s="14" t="n"/>
      <c r="P44" s="9">
        <f>IF(OR(F44="À échoir",F44="En retard"),$C$5-D44,"")</f>
        <v/>
      </c>
      <c r="Q44" s="9">
        <f>IF(P44="","",(P44&gt;=$G$5)+(P44&gt;=$G$6)+(P44&gt;=$G$7)+(P44&gt;=$G$8)+(P44&gt;=$G$9))</f>
        <v/>
      </c>
      <c r="R44" s="9">
        <f>IF(H44="",0,IFERROR(MATCH(H44,$F$5:$F$9,0),0))</f>
        <v/>
      </c>
      <c r="S44" s="9">
        <f>IF(Q44="","",IF(R44&gt;=Q44,R44+1,Q44))</f>
        <v/>
      </c>
      <c r="T44" s="9">
        <f>IF(F44="En retard",N(C44)+44/1000000000,"")</f>
        <v/>
      </c>
    </row>
    <row r="45" ht="16" customHeight="1">
      <c r="A45" s="14" t="n"/>
      <c r="B45" s="14" t="n"/>
      <c r="C45" s="22" t="n"/>
      <c r="D45" s="17" t="n"/>
      <c r="E45" s="17" t="n"/>
      <c r="F45" s="32">
        <f>IF(AND(A45="",B45="",C45="",D45="",E45=""),"",IF(D45="","Échéance à saisir",IF(E45&lt;&gt;"",IF(E45&lt;=D45,"Payée","Payée en retard"),IF($C$5&lt;=D45,"À échoir","En retard"))))</f>
        <v/>
      </c>
      <c r="G45" s="31">
        <f>IF(OR(F45="",D45=""),"",IF(E45&lt;&gt;"",MAX(0,E45-D45),MAX(0,$C$5-D45)))</f>
        <v/>
      </c>
      <c r="H45" s="14" t="n"/>
      <c r="I45" s="17" t="n"/>
      <c r="J45" s="41">
        <f>IF(S45="","",IF(S45&gt;5,"Suite avec votre avocat",INDEX($F$5:$F$9,S45)))</f>
        <v/>
      </c>
      <c r="K45" s="20">
        <f>IF(S45="","",IF(S45&gt;5,"",D45+INDEX($G$5:$G$9,S45)))</f>
        <v/>
      </c>
      <c r="L45" s="54">
        <f>IF(S45="","",IF(S45&gt;5,"À décider",IF(K45&lt;=$C$5,"À faire","")))</f>
        <v/>
      </c>
      <c r="M45" s="55">
        <f>IF(F45="","",IF(N(G45)&lt;=0,0,N(C45)*$C$6*G45/365))</f>
        <v/>
      </c>
      <c r="N45" s="33">
        <f>IF(F45="","",IF(N(G45)&lt;=0,0,N($C$7)))</f>
        <v/>
      </c>
      <c r="O45" s="14" t="n"/>
      <c r="P45" s="9">
        <f>IF(OR(F45="À échoir",F45="En retard"),$C$5-D45,"")</f>
        <v/>
      </c>
      <c r="Q45" s="9">
        <f>IF(P45="","",(P45&gt;=$G$5)+(P45&gt;=$G$6)+(P45&gt;=$G$7)+(P45&gt;=$G$8)+(P45&gt;=$G$9))</f>
        <v/>
      </c>
      <c r="R45" s="9">
        <f>IF(H45="",0,IFERROR(MATCH(H45,$F$5:$F$9,0),0))</f>
        <v/>
      </c>
      <c r="S45" s="9">
        <f>IF(Q45="","",IF(R45&gt;=Q45,R45+1,Q45))</f>
        <v/>
      </c>
      <c r="T45" s="9">
        <f>IF(F45="En retard",N(C45)+45/1000000000,"")</f>
        <v/>
      </c>
    </row>
    <row r="46" ht="16" customHeight="1">
      <c r="A46" s="14" t="n"/>
      <c r="B46" s="14" t="n"/>
      <c r="C46" s="22" t="n"/>
      <c r="D46" s="17" t="n"/>
      <c r="E46" s="17" t="n"/>
      <c r="F46" s="32">
        <f>IF(AND(A46="",B46="",C46="",D46="",E46=""),"",IF(D46="","Échéance à saisir",IF(E46&lt;&gt;"",IF(E46&lt;=D46,"Payée","Payée en retard"),IF($C$5&lt;=D46,"À échoir","En retard"))))</f>
        <v/>
      </c>
      <c r="G46" s="31">
        <f>IF(OR(F46="",D46=""),"",IF(E46&lt;&gt;"",MAX(0,E46-D46),MAX(0,$C$5-D46)))</f>
        <v/>
      </c>
      <c r="H46" s="14" t="n"/>
      <c r="I46" s="17" t="n"/>
      <c r="J46" s="41">
        <f>IF(S46="","",IF(S46&gt;5,"Suite avec votre avocat",INDEX($F$5:$F$9,S46)))</f>
        <v/>
      </c>
      <c r="K46" s="20">
        <f>IF(S46="","",IF(S46&gt;5,"",D46+INDEX($G$5:$G$9,S46)))</f>
        <v/>
      </c>
      <c r="L46" s="54">
        <f>IF(S46="","",IF(S46&gt;5,"À décider",IF(K46&lt;=$C$5,"À faire","")))</f>
        <v/>
      </c>
      <c r="M46" s="55">
        <f>IF(F46="","",IF(N(G46)&lt;=0,0,N(C46)*$C$6*G46/365))</f>
        <v/>
      </c>
      <c r="N46" s="33">
        <f>IF(F46="","",IF(N(G46)&lt;=0,0,N($C$7)))</f>
        <v/>
      </c>
      <c r="O46" s="14" t="n"/>
      <c r="P46" s="9">
        <f>IF(OR(F46="À échoir",F46="En retard"),$C$5-D46,"")</f>
        <v/>
      </c>
      <c r="Q46" s="9">
        <f>IF(P46="","",(P46&gt;=$G$5)+(P46&gt;=$G$6)+(P46&gt;=$G$7)+(P46&gt;=$G$8)+(P46&gt;=$G$9))</f>
        <v/>
      </c>
      <c r="R46" s="9">
        <f>IF(H46="",0,IFERROR(MATCH(H46,$F$5:$F$9,0),0))</f>
        <v/>
      </c>
      <c r="S46" s="9">
        <f>IF(Q46="","",IF(R46&gt;=Q46,R46+1,Q46))</f>
        <v/>
      </c>
      <c r="T46" s="9">
        <f>IF(F46="En retard",N(C46)+46/1000000000,"")</f>
        <v/>
      </c>
    </row>
    <row r="47" ht="16" customHeight="1">
      <c r="A47" s="14" t="n"/>
      <c r="B47" s="14" t="n"/>
      <c r="C47" s="22" t="n"/>
      <c r="D47" s="17" t="n"/>
      <c r="E47" s="17" t="n"/>
      <c r="F47" s="32">
        <f>IF(AND(A47="",B47="",C47="",D47="",E47=""),"",IF(D47="","Échéance à saisir",IF(E47&lt;&gt;"",IF(E47&lt;=D47,"Payée","Payée en retard"),IF($C$5&lt;=D47,"À échoir","En retard"))))</f>
        <v/>
      </c>
      <c r="G47" s="31">
        <f>IF(OR(F47="",D47=""),"",IF(E47&lt;&gt;"",MAX(0,E47-D47),MAX(0,$C$5-D47)))</f>
        <v/>
      </c>
      <c r="H47" s="14" t="n"/>
      <c r="I47" s="17" t="n"/>
      <c r="J47" s="41">
        <f>IF(S47="","",IF(S47&gt;5,"Suite avec votre avocat",INDEX($F$5:$F$9,S47)))</f>
        <v/>
      </c>
      <c r="K47" s="20">
        <f>IF(S47="","",IF(S47&gt;5,"",D47+INDEX($G$5:$G$9,S47)))</f>
        <v/>
      </c>
      <c r="L47" s="54">
        <f>IF(S47="","",IF(S47&gt;5,"À décider",IF(K47&lt;=$C$5,"À faire","")))</f>
        <v/>
      </c>
      <c r="M47" s="55">
        <f>IF(F47="","",IF(N(G47)&lt;=0,0,N(C47)*$C$6*G47/365))</f>
        <v/>
      </c>
      <c r="N47" s="33">
        <f>IF(F47="","",IF(N(G47)&lt;=0,0,N($C$7)))</f>
        <v/>
      </c>
      <c r="O47" s="14" t="n"/>
      <c r="P47" s="9">
        <f>IF(OR(F47="À échoir",F47="En retard"),$C$5-D47,"")</f>
        <v/>
      </c>
      <c r="Q47" s="9">
        <f>IF(P47="","",(P47&gt;=$G$5)+(P47&gt;=$G$6)+(P47&gt;=$G$7)+(P47&gt;=$G$8)+(P47&gt;=$G$9))</f>
        <v/>
      </c>
      <c r="R47" s="9">
        <f>IF(H47="",0,IFERROR(MATCH(H47,$F$5:$F$9,0),0))</f>
        <v/>
      </c>
      <c r="S47" s="9">
        <f>IF(Q47="","",IF(R47&gt;=Q47,R47+1,Q47))</f>
        <v/>
      </c>
      <c r="T47" s="9">
        <f>IF(F47="En retard",N(C47)+47/1000000000,"")</f>
        <v/>
      </c>
    </row>
    <row r="48" ht="16" customHeight="1">
      <c r="A48" s="14" t="n"/>
      <c r="B48" s="14" t="n"/>
      <c r="C48" s="22" t="n"/>
      <c r="D48" s="17" t="n"/>
      <c r="E48" s="17" t="n"/>
      <c r="F48" s="32">
        <f>IF(AND(A48="",B48="",C48="",D48="",E48=""),"",IF(D48="","Échéance à saisir",IF(E48&lt;&gt;"",IF(E48&lt;=D48,"Payée","Payée en retard"),IF($C$5&lt;=D48,"À échoir","En retard"))))</f>
        <v/>
      </c>
      <c r="G48" s="31">
        <f>IF(OR(F48="",D48=""),"",IF(E48&lt;&gt;"",MAX(0,E48-D48),MAX(0,$C$5-D48)))</f>
        <v/>
      </c>
      <c r="H48" s="14" t="n"/>
      <c r="I48" s="17" t="n"/>
      <c r="J48" s="41">
        <f>IF(S48="","",IF(S48&gt;5,"Suite avec votre avocat",INDEX($F$5:$F$9,S48)))</f>
        <v/>
      </c>
      <c r="K48" s="20">
        <f>IF(S48="","",IF(S48&gt;5,"",D48+INDEX($G$5:$G$9,S48)))</f>
        <v/>
      </c>
      <c r="L48" s="54">
        <f>IF(S48="","",IF(S48&gt;5,"À décider",IF(K48&lt;=$C$5,"À faire","")))</f>
        <v/>
      </c>
      <c r="M48" s="55">
        <f>IF(F48="","",IF(N(G48)&lt;=0,0,N(C48)*$C$6*G48/365))</f>
        <v/>
      </c>
      <c r="N48" s="33">
        <f>IF(F48="","",IF(N(G48)&lt;=0,0,N($C$7)))</f>
        <v/>
      </c>
      <c r="O48" s="14" t="n"/>
      <c r="P48" s="9">
        <f>IF(OR(F48="À échoir",F48="En retard"),$C$5-D48,"")</f>
        <v/>
      </c>
      <c r="Q48" s="9">
        <f>IF(P48="","",(P48&gt;=$G$5)+(P48&gt;=$G$6)+(P48&gt;=$G$7)+(P48&gt;=$G$8)+(P48&gt;=$G$9))</f>
        <v/>
      </c>
      <c r="R48" s="9">
        <f>IF(H48="",0,IFERROR(MATCH(H48,$F$5:$F$9,0),0))</f>
        <v/>
      </c>
      <c r="S48" s="9">
        <f>IF(Q48="","",IF(R48&gt;=Q48,R48+1,Q48))</f>
        <v/>
      </c>
      <c r="T48" s="9">
        <f>IF(F48="En retard",N(C48)+48/1000000000,"")</f>
        <v/>
      </c>
    </row>
    <row r="49" ht="16" customHeight="1">
      <c r="A49" s="14" t="n"/>
      <c r="B49" s="14" t="n"/>
      <c r="C49" s="22" t="n"/>
      <c r="D49" s="17" t="n"/>
      <c r="E49" s="17" t="n"/>
      <c r="F49" s="32">
        <f>IF(AND(A49="",B49="",C49="",D49="",E49=""),"",IF(D49="","Échéance à saisir",IF(E49&lt;&gt;"",IF(E49&lt;=D49,"Payée","Payée en retard"),IF($C$5&lt;=D49,"À échoir","En retard"))))</f>
        <v/>
      </c>
      <c r="G49" s="31">
        <f>IF(OR(F49="",D49=""),"",IF(E49&lt;&gt;"",MAX(0,E49-D49),MAX(0,$C$5-D49)))</f>
        <v/>
      </c>
      <c r="H49" s="14" t="n"/>
      <c r="I49" s="17" t="n"/>
      <c r="J49" s="41">
        <f>IF(S49="","",IF(S49&gt;5,"Suite avec votre avocat",INDEX($F$5:$F$9,S49)))</f>
        <v/>
      </c>
      <c r="K49" s="20">
        <f>IF(S49="","",IF(S49&gt;5,"",D49+INDEX($G$5:$G$9,S49)))</f>
        <v/>
      </c>
      <c r="L49" s="54">
        <f>IF(S49="","",IF(S49&gt;5,"À décider",IF(K49&lt;=$C$5,"À faire","")))</f>
        <v/>
      </c>
      <c r="M49" s="55">
        <f>IF(F49="","",IF(N(G49)&lt;=0,0,N(C49)*$C$6*G49/365))</f>
        <v/>
      </c>
      <c r="N49" s="33">
        <f>IF(F49="","",IF(N(G49)&lt;=0,0,N($C$7)))</f>
        <v/>
      </c>
      <c r="O49" s="14" t="n"/>
      <c r="P49" s="9">
        <f>IF(OR(F49="À échoir",F49="En retard"),$C$5-D49,"")</f>
        <v/>
      </c>
      <c r="Q49" s="9">
        <f>IF(P49="","",(P49&gt;=$G$5)+(P49&gt;=$G$6)+(P49&gt;=$G$7)+(P49&gt;=$G$8)+(P49&gt;=$G$9))</f>
        <v/>
      </c>
      <c r="R49" s="9">
        <f>IF(H49="",0,IFERROR(MATCH(H49,$F$5:$F$9,0),0))</f>
        <v/>
      </c>
      <c r="S49" s="9">
        <f>IF(Q49="","",IF(R49&gt;=Q49,R49+1,Q49))</f>
        <v/>
      </c>
      <c r="T49" s="9">
        <f>IF(F49="En retard",N(C49)+49/1000000000,"")</f>
        <v/>
      </c>
    </row>
    <row r="50" ht="16" customHeight="1">
      <c r="A50" s="14" t="n"/>
      <c r="B50" s="14" t="n"/>
      <c r="C50" s="22" t="n"/>
      <c r="D50" s="17" t="n"/>
      <c r="E50" s="17" t="n"/>
      <c r="F50" s="32">
        <f>IF(AND(A50="",B50="",C50="",D50="",E50=""),"",IF(D50="","Échéance à saisir",IF(E50&lt;&gt;"",IF(E50&lt;=D50,"Payée","Payée en retard"),IF($C$5&lt;=D50,"À échoir","En retard"))))</f>
        <v/>
      </c>
      <c r="G50" s="31">
        <f>IF(OR(F50="",D50=""),"",IF(E50&lt;&gt;"",MAX(0,E50-D50),MAX(0,$C$5-D50)))</f>
        <v/>
      </c>
      <c r="H50" s="14" t="n"/>
      <c r="I50" s="17" t="n"/>
      <c r="J50" s="41">
        <f>IF(S50="","",IF(S50&gt;5,"Suite avec votre avocat",INDEX($F$5:$F$9,S50)))</f>
        <v/>
      </c>
      <c r="K50" s="20">
        <f>IF(S50="","",IF(S50&gt;5,"",D50+INDEX($G$5:$G$9,S50)))</f>
        <v/>
      </c>
      <c r="L50" s="54">
        <f>IF(S50="","",IF(S50&gt;5,"À décider",IF(K50&lt;=$C$5,"À faire","")))</f>
        <v/>
      </c>
      <c r="M50" s="55">
        <f>IF(F50="","",IF(N(G50)&lt;=0,0,N(C50)*$C$6*G50/365))</f>
        <v/>
      </c>
      <c r="N50" s="33">
        <f>IF(F50="","",IF(N(G50)&lt;=0,0,N($C$7)))</f>
        <v/>
      </c>
      <c r="O50" s="14" t="n"/>
      <c r="P50" s="9">
        <f>IF(OR(F50="À échoir",F50="En retard"),$C$5-D50,"")</f>
        <v/>
      </c>
      <c r="Q50" s="9">
        <f>IF(P50="","",(P50&gt;=$G$5)+(P50&gt;=$G$6)+(P50&gt;=$G$7)+(P50&gt;=$G$8)+(P50&gt;=$G$9))</f>
        <v/>
      </c>
      <c r="R50" s="9">
        <f>IF(H50="",0,IFERROR(MATCH(H50,$F$5:$F$9,0),0))</f>
        <v/>
      </c>
      <c r="S50" s="9">
        <f>IF(Q50="","",IF(R50&gt;=Q50,R50+1,Q50))</f>
        <v/>
      </c>
      <c r="T50" s="9">
        <f>IF(F50="En retard",N(C50)+50/1000000000,"")</f>
        <v/>
      </c>
    </row>
    <row r="51" ht="16" customHeight="1">
      <c r="A51" s="14" t="n"/>
      <c r="B51" s="14" t="n"/>
      <c r="C51" s="22" t="n"/>
      <c r="D51" s="17" t="n"/>
      <c r="E51" s="17" t="n"/>
      <c r="F51" s="32">
        <f>IF(AND(A51="",B51="",C51="",D51="",E51=""),"",IF(D51="","Échéance à saisir",IF(E51&lt;&gt;"",IF(E51&lt;=D51,"Payée","Payée en retard"),IF($C$5&lt;=D51,"À échoir","En retard"))))</f>
        <v/>
      </c>
      <c r="G51" s="31">
        <f>IF(OR(F51="",D51=""),"",IF(E51&lt;&gt;"",MAX(0,E51-D51),MAX(0,$C$5-D51)))</f>
        <v/>
      </c>
      <c r="H51" s="14" t="n"/>
      <c r="I51" s="17" t="n"/>
      <c r="J51" s="41">
        <f>IF(S51="","",IF(S51&gt;5,"Suite avec votre avocat",INDEX($F$5:$F$9,S51)))</f>
        <v/>
      </c>
      <c r="K51" s="20">
        <f>IF(S51="","",IF(S51&gt;5,"",D51+INDEX($G$5:$G$9,S51)))</f>
        <v/>
      </c>
      <c r="L51" s="54">
        <f>IF(S51="","",IF(S51&gt;5,"À décider",IF(K51&lt;=$C$5,"À faire","")))</f>
        <v/>
      </c>
      <c r="M51" s="55">
        <f>IF(F51="","",IF(N(G51)&lt;=0,0,N(C51)*$C$6*G51/365))</f>
        <v/>
      </c>
      <c r="N51" s="33">
        <f>IF(F51="","",IF(N(G51)&lt;=0,0,N($C$7)))</f>
        <v/>
      </c>
      <c r="O51" s="14" t="n"/>
      <c r="P51" s="9">
        <f>IF(OR(F51="À échoir",F51="En retard"),$C$5-D51,"")</f>
        <v/>
      </c>
      <c r="Q51" s="9">
        <f>IF(P51="","",(P51&gt;=$G$5)+(P51&gt;=$G$6)+(P51&gt;=$G$7)+(P51&gt;=$G$8)+(P51&gt;=$G$9))</f>
        <v/>
      </c>
      <c r="R51" s="9">
        <f>IF(H51="",0,IFERROR(MATCH(H51,$F$5:$F$9,0),0))</f>
        <v/>
      </c>
      <c r="S51" s="9">
        <f>IF(Q51="","",IF(R51&gt;=Q51,R51+1,Q51))</f>
        <v/>
      </c>
      <c r="T51" s="9">
        <f>IF(F51="En retard",N(C51)+51/1000000000,"")</f>
        <v/>
      </c>
    </row>
    <row r="52" ht="16" customHeight="1">
      <c r="A52" s="14" t="n"/>
      <c r="B52" s="14" t="n"/>
      <c r="C52" s="22" t="n"/>
      <c r="D52" s="17" t="n"/>
      <c r="E52" s="17" t="n"/>
      <c r="F52" s="32">
        <f>IF(AND(A52="",B52="",C52="",D52="",E52=""),"",IF(D52="","Échéance à saisir",IF(E52&lt;&gt;"",IF(E52&lt;=D52,"Payée","Payée en retard"),IF($C$5&lt;=D52,"À échoir","En retard"))))</f>
        <v/>
      </c>
      <c r="G52" s="31">
        <f>IF(OR(F52="",D52=""),"",IF(E52&lt;&gt;"",MAX(0,E52-D52),MAX(0,$C$5-D52)))</f>
        <v/>
      </c>
      <c r="H52" s="14" t="n"/>
      <c r="I52" s="17" t="n"/>
      <c r="J52" s="41">
        <f>IF(S52="","",IF(S52&gt;5,"Suite avec votre avocat",INDEX($F$5:$F$9,S52)))</f>
        <v/>
      </c>
      <c r="K52" s="20">
        <f>IF(S52="","",IF(S52&gt;5,"",D52+INDEX($G$5:$G$9,S52)))</f>
        <v/>
      </c>
      <c r="L52" s="54">
        <f>IF(S52="","",IF(S52&gt;5,"À décider",IF(K52&lt;=$C$5,"À faire","")))</f>
        <v/>
      </c>
      <c r="M52" s="55">
        <f>IF(F52="","",IF(N(G52)&lt;=0,0,N(C52)*$C$6*G52/365))</f>
        <v/>
      </c>
      <c r="N52" s="33">
        <f>IF(F52="","",IF(N(G52)&lt;=0,0,N($C$7)))</f>
        <v/>
      </c>
      <c r="O52" s="14" t="n"/>
      <c r="P52" s="9">
        <f>IF(OR(F52="À échoir",F52="En retard"),$C$5-D52,"")</f>
        <v/>
      </c>
      <c r="Q52" s="9">
        <f>IF(P52="","",(P52&gt;=$G$5)+(P52&gt;=$G$6)+(P52&gt;=$G$7)+(P52&gt;=$G$8)+(P52&gt;=$G$9))</f>
        <v/>
      </c>
      <c r="R52" s="9">
        <f>IF(H52="",0,IFERROR(MATCH(H52,$F$5:$F$9,0),0))</f>
        <v/>
      </c>
      <c r="S52" s="9">
        <f>IF(Q52="","",IF(R52&gt;=Q52,R52+1,Q52))</f>
        <v/>
      </c>
      <c r="T52" s="9">
        <f>IF(F52="En retard",N(C52)+52/1000000000,"")</f>
        <v/>
      </c>
    </row>
    <row r="53" ht="16" customHeight="1">
      <c r="A53" s="14" t="n"/>
      <c r="B53" s="14" t="n"/>
      <c r="C53" s="22" t="n"/>
      <c r="D53" s="17" t="n"/>
      <c r="E53" s="17" t="n"/>
      <c r="F53" s="32">
        <f>IF(AND(A53="",B53="",C53="",D53="",E53=""),"",IF(D53="","Échéance à saisir",IF(E53&lt;&gt;"",IF(E53&lt;=D53,"Payée","Payée en retard"),IF($C$5&lt;=D53,"À échoir","En retard"))))</f>
        <v/>
      </c>
      <c r="G53" s="31">
        <f>IF(OR(F53="",D53=""),"",IF(E53&lt;&gt;"",MAX(0,E53-D53),MAX(0,$C$5-D53)))</f>
        <v/>
      </c>
      <c r="H53" s="14" t="n"/>
      <c r="I53" s="17" t="n"/>
      <c r="J53" s="41">
        <f>IF(S53="","",IF(S53&gt;5,"Suite avec votre avocat",INDEX($F$5:$F$9,S53)))</f>
        <v/>
      </c>
      <c r="K53" s="20">
        <f>IF(S53="","",IF(S53&gt;5,"",D53+INDEX($G$5:$G$9,S53)))</f>
        <v/>
      </c>
      <c r="L53" s="54">
        <f>IF(S53="","",IF(S53&gt;5,"À décider",IF(K53&lt;=$C$5,"À faire","")))</f>
        <v/>
      </c>
      <c r="M53" s="55">
        <f>IF(F53="","",IF(N(G53)&lt;=0,0,N(C53)*$C$6*G53/365))</f>
        <v/>
      </c>
      <c r="N53" s="33">
        <f>IF(F53="","",IF(N(G53)&lt;=0,0,N($C$7)))</f>
        <v/>
      </c>
      <c r="O53" s="14" t="n"/>
      <c r="P53" s="9">
        <f>IF(OR(F53="À échoir",F53="En retard"),$C$5-D53,"")</f>
        <v/>
      </c>
      <c r="Q53" s="9">
        <f>IF(P53="","",(P53&gt;=$G$5)+(P53&gt;=$G$6)+(P53&gt;=$G$7)+(P53&gt;=$G$8)+(P53&gt;=$G$9))</f>
        <v/>
      </c>
      <c r="R53" s="9">
        <f>IF(H53="",0,IFERROR(MATCH(H53,$F$5:$F$9,0),0))</f>
        <v/>
      </c>
      <c r="S53" s="9">
        <f>IF(Q53="","",IF(R53&gt;=Q53,R53+1,Q53))</f>
        <v/>
      </c>
      <c r="T53" s="9">
        <f>IF(F53="En retard",N(C53)+53/1000000000,"")</f>
        <v/>
      </c>
    </row>
    <row r="54" ht="16" customHeight="1">
      <c r="A54" s="14" t="n"/>
      <c r="B54" s="14" t="n"/>
      <c r="C54" s="22" t="n"/>
      <c r="D54" s="17" t="n"/>
      <c r="E54" s="17" t="n"/>
      <c r="F54" s="32">
        <f>IF(AND(A54="",B54="",C54="",D54="",E54=""),"",IF(D54="","Échéance à saisir",IF(E54&lt;&gt;"",IF(E54&lt;=D54,"Payée","Payée en retard"),IF($C$5&lt;=D54,"À échoir","En retard"))))</f>
        <v/>
      </c>
      <c r="G54" s="31">
        <f>IF(OR(F54="",D54=""),"",IF(E54&lt;&gt;"",MAX(0,E54-D54),MAX(0,$C$5-D54)))</f>
        <v/>
      </c>
      <c r="H54" s="14" t="n"/>
      <c r="I54" s="17" t="n"/>
      <c r="J54" s="41">
        <f>IF(S54="","",IF(S54&gt;5,"Suite avec votre avocat",INDEX($F$5:$F$9,S54)))</f>
        <v/>
      </c>
      <c r="K54" s="20">
        <f>IF(S54="","",IF(S54&gt;5,"",D54+INDEX($G$5:$G$9,S54)))</f>
        <v/>
      </c>
      <c r="L54" s="54">
        <f>IF(S54="","",IF(S54&gt;5,"À décider",IF(K54&lt;=$C$5,"À faire","")))</f>
        <v/>
      </c>
      <c r="M54" s="55">
        <f>IF(F54="","",IF(N(G54)&lt;=0,0,N(C54)*$C$6*G54/365))</f>
        <v/>
      </c>
      <c r="N54" s="33">
        <f>IF(F54="","",IF(N(G54)&lt;=0,0,N($C$7)))</f>
        <v/>
      </c>
      <c r="O54" s="14" t="n"/>
      <c r="P54" s="9">
        <f>IF(OR(F54="À échoir",F54="En retard"),$C$5-D54,"")</f>
        <v/>
      </c>
      <c r="Q54" s="9">
        <f>IF(P54="","",(P54&gt;=$G$5)+(P54&gt;=$G$6)+(P54&gt;=$G$7)+(P54&gt;=$G$8)+(P54&gt;=$G$9))</f>
        <v/>
      </c>
      <c r="R54" s="9">
        <f>IF(H54="",0,IFERROR(MATCH(H54,$F$5:$F$9,0),0))</f>
        <v/>
      </c>
      <c r="S54" s="9">
        <f>IF(Q54="","",IF(R54&gt;=Q54,R54+1,Q54))</f>
        <v/>
      </c>
      <c r="T54" s="9">
        <f>IF(F54="En retard",N(C54)+54/1000000000,"")</f>
        <v/>
      </c>
    </row>
    <row r="55" ht="16" customHeight="1">
      <c r="A55" s="14" t="n"/>
      <c r="B55" s="14" t="n"/>
      <c r="C55" s="22" t="n"/>
      <c r="D55" s="17" t="n"/>
      <c r="E55" s="17" t="n"/>
      <c r="F55" s="32">
        <f>IF(AND(A55="",B55="",C55="",D55="",E55=""),"",IF(D55="","Échéance à saisir",IF(E55&lt;&gt;"",IF(E55&lt;=D55,"Payée","Payée en retard"),IF($C$5&lt;=D55,"À échoir","En retard"))))</f>
        <v/>
      </c>
      <c r="G55" s="31">
        <f>IF(OR(F55="",D55=""),"",IF(E55&lt;&gt;"",MAX(0,E55-D55),MAX(0,$C$5-D55)))</f>
        <v/>
      </c>
      <c r="H55" s="14" t="n"/>
      <c r="I55" s="17" t="n"/>
      <c r="J55" s="41">
        <f>IF(S55="","",IF(S55&gt;5,"Suite avec votre avocat",INDEX($F$5:$F$9,S55)))</f>
        <v/>
      </c>
      <c r="K55" s="20">
        <f>IF(S55="","",IF(S55&gt;5,"",D55+INDEX($G$5:$G$9,S55)))</f>
        <v/>
      </c>
      <c r="L55" s="54">
        <f>IF(S55="","",IF(S55&gt;5,"À décider",IF(K55&lt;=$C$5,"À faire","")))</f>
        <v/>
      </c>
      <c r="M55" s="55">
        <f>IF(F55="","",IF(N(G55)&lt;=0,0,N(C55)*$C$6*G55/365))</f>
        <v/>
      </c>
      <c r="N55" s="33">
        <f>IF(F55="","",IF(N(G55)&lt;=0,0,N($C$7)))</f>
        <v/>
      </c>
      <c r="O55" s="14" t="n"/>
      <c r="P55" s="9">
        <f>IF(OR(F55="À échoir",F55="En retard"),$C$5-D55,"")</f>
        <v/>
      </c>
      <c r="Q55" s="9">
        <f>IF(P55="","",(P55&gt;=$G$5)+(P55&gt;=$G$6)+(P55&gt;=$G$7)+(P55&gt;=$G$8)+(P55&gt;=$G$9))</f>
        <v/>
      </c>
      <c r="R55" s="9">
        <f>IF(H55="",0,IFERROR(MATCH(H55,$F$5:$F$9,0),0))</f>
        <v/>
      </c>
      <c r="S55" s="9">
        <f>IF(Q55="","",IF(R55&gt;=Q55,R55+1,Q55))</f>
        <v/>
      </c>
      <c r="T55" s="9">
        <f>IF(F55="En retard",N(C55)+55/1000000000,"")</f>
        <v/>
      </c>
    </row>
    <row r="56" ht="16" customHeight="1">
      <c r="A56" s="14" t="n"/>
      <c r="B56" s="14" t="n"/>
      <c r="C56" s="22" t="n"/>
      <c r="D56" s="17" t="n"/>
      <c r="E56" s="17" t="n"/>
      <c r="F56" s="32">
        <f>IF(AND(A56="",B56="",C56="",D56="",E56=""),"",IF(D56="","Échéance à saisir",IF(E56&lt;&gt;"",IF(E56&lt;=D56,"Payée","Payée en retard"),IF($C$5&lt;=D56,"À échoir","En retard"))))</f>
        <v/>
      </c>
      <c r="G56" s="31">
        <f>IF(OR(F56="",D56=""),"",IF(E56&lt;&gt;"",MAX(0,E56-D56),MAX(0,$C$5-D56)))</f>
        <v/>
      </c>
      <c r="H56" s="14" t="n"/>
      <c r="I56" s="17" t="n"/>
      <c r="J56" s="41">
        <f>IF(S56="","",IF(S56&gt;5,"Suite avec votre avocat",INDEX($F$5:$F$9,S56)))</f>
        <v/>
      </c>
      <c r="K56" s="20">
        <f>IF(S56="","",IF(S56&gt;5,"",D56+INDEX($G$5:$G$9,S56)))</f>
        <v/>
      </c>
      <c r="L56" s="54">
        <f>IF(S56="","",IF(S56&gt;5,"À décider",IF(K56&lt;=$C$5,"À faire","")))</f>
        <v/>
      </c>
      <c r="M56" s="55">
        <f>IF(F56="","",IF(N(G56)&lt;=0,0,N(C56)*$C$6*G56/365))</f>
        <v/>
      </c>
      <c r="N56" s="33">
        <f>IF(F56="","",IF(N(G56)&lt;=0,0,N($C$7)))</f>
        <v/>
      </c>
      <c r="O56" s="14" t="n"/>
      <c r="P56" s="9">
        <f>IF(OR(F56="À échoir",F56="En retard"),$C$5-D56,"")</f>
        <v/>
      </c>
      <c r="Q56" s="9">
        <f>IF(P56="","",(P56&gt;=$G$5)+(P56&gt;=$G$6)+(P56&gt;=$G$7)+(P56&gt;=$G$8)+(P56&gt;=$G$9))</f>
        <v/>
      </c>
      <c r="R56" s="9">
        <f>IF(H56="",0,IFERROR(MATCH(H56,$F$5:$F$9,0),0))</f>
        <v/>
      </c>
      <c r="S56" s="9">
        <f>IF(Q56="","",IF(R56&gt;=Q56,R56+1,Q56))</f>
        <v/>
      </c>
      <c r="T56" s="9">
        <f>IF(F56="En retard",N(C56)+56/1000000000,"")</f>
        <v/>
      </c>
    </row>
    <row r="57" ht="16" customHeight="1">
      <c r="A57" s="14" t="n"/>
      <c r="B57" s="14" t="n"/>
      <c r="C57" s="22" t="n"/>
      <c r="D57" s="17" t="n"/>
      <c r="E57" s="17" t="n"/>
      <c r="F57" s="32">
        <f>IF(AND(A57="",B57="",C57="",D57="",E57=""),"",IF(D57="","Échéance à saisir",IF(E57&lt;&gt;"",IF(E57&lt;=D57,"Payée","Payée en retard"),IF($C$5&lt;=D57,"À échoir","En retard"))))</f>
        <v/>
      </c>
      <c r="G57" s="31">
        <f>IF(OR(F57="",D57=""),"",IF(E57&lt;&gt;"",MAX(0,E57-D57),MAX(0,$C$5-D57)))</f>
        <v/>
      </c>
      <c r="H57" s="14" t="n"/>
      <c r="I57" s="17" t="n"/>
      <c r="J57" s="41">
        <f>IF(S57="","",IF(S57&gt;5,"Suite avec votre avocat",INDEX($F$5:$F$9,S57)))</f>
        <v/>
      </c>
      <c r="K57" s="20">
        <f>IF(S57="","",IF(S57&gt;5,"",D57+INDEX($G$5:$G$9,S57)))</f>
        <v/>
      </c>
      <c r="L57" s="54">
        <f>IF(S57="","",IF(S57&gt;5,"À décider",IF(K57&lt;=$C$5,"À faire","")))</f>
        <v/>
      </c>
      <c r="M57" s="55">
        <f>IF(F57="","",IF(N(G57)&lt;=0,0,N(C57)*$C$6*G57/365))</f>
        <v/>
      </c>
      <c r="N57" s="33">
        <f>IF(F57="","",IF(N(G57)&lt;=0,0,N($C$7)))</f>
        <v/>
      </c>
      <c r="O57" s="14" t="n"/>
      <c r="P57" s="9">
        <f>IF(OR(F57="À échoir",F57="En retard"),$C$5-D57,"")</f>
        <v/>
      </c>
      <c r="Q57" s="9">
        <f>IF(P57="","",(P57&gt;=$G$5)+(P57&gt;=$G$6)+(P57&gt;=$G$7)+(P57&gt;=$G$8)+(P57&gt;=$G$9))</f>
        <v/>
      </c>
      <c r="R57" s="9">
        <f>IF(H57="",0,IFERROR(MATCH(H57,$F$5:$F$9,0),0))</f>
        <v/>
      </c>
      <c r="S57" s="9">
        <f>IF(Q57="","",IF(R57&gt;=Q57,R57+1,Q57))</f>
        <v/>
      </c>
      <c r="T57" s="9">
        <f>IF(F57="En retard",N(C57)+57/1000000000,"")</f>
        <v/>
      </c>
    </row>
    <row r="58" ht="16" customHeight="1">
      <c r="A58" s="14" t="n"/>
      <c r="B58" s="14" t="n"/>
      <c r="C58" s="22" t="n"/>
      <c r="D58" s="17" t="n"/>
      <c r="E58" s="17" t="n"/>
      <c r="F58" s="32">
        <f>IF(AND(A58="",B58="",C58="",D58="",E58=""),"",IF(D58="","Échéance à saisir",IF(E58&lt;&gt;"",IF(E58&lt;=D58,"Payée","Payée en retard"),IF($C$5&lt;=D58,"À échoir","En retard"))))</f>
        <v/>
      </c>
      <c r="G58" s="31">
        <f>IF(OR(F58="",D58=""),"",IF(E58&lt;&gt;"",MAX(0,E58-D58),MAX(0,$C$5-D58)))</f>
        <v/>
      </c>
      <c r="H58" s="14" t="n"/>
      <c r="I58" s="17" t="n"/>
      <c r="J58" s="41">
        <f>IF(S58="","",IF(S58&gt;5,"Suite avec votre avocat",INDEX($F$5:$F$9,S58)))</f>
        <v/>
      </c>
      <c r="K58" s="20">
        <f>IF(S58="","",IF(S58&gt;5,"",D58+INDEX($G$5:$G$9,S58)))</f>
        <v/>
      </c>
      <c r="L58" s="54">
        <f>IF(S58="","",IF(S58&gt;5,"À décider",IF(K58&lt;=$C$5,"À faire","")))</f>
        <v/>
      </c>
      <c r="M58" s="55">
        <f>IF(F58="","",IF(N(G58)&lt;=0,0,N(C58)*$C$6*G58/365))</f>
        <v/>
      </c>
      <c r="N58" s="33">
        <f>IF(F58="","",IF(N(G58)&lt;=0,0,N($C$7)))</f>
        <v/>
      </c>
      <c r="O58" s="14" t="n"/>
      <c r="P58" s="9">
        <f>IF(OR(F58="À échoir",F58="En retard"),$C$5-D58,"")</f>
        <v/>
      </c>
      <c r="Q58" s="9">
        <f>IF(P58="","",(P58&gt;=$G$5)+(P58&gt;=$G$6)+(P58&gt;=$G$7)+(P58&gt;=$G$8)+(P58&gt;=$G$9))</f>
        <v/>
      </c>
      <c r="R58" s="9">
        <f>IF(H58="",0,IFERROR(MATCH(H58,$F$5:$F$9,0),0))</f>
        <v/>
      </c>
      <c r="S58" s="9">
        <f>IF(Q58="","",IF(R58&gt;=Q58,R58+1,Q58))</f>
        <v/>
      </c>
      <c r="T58" s="9">
        <f>IF(F58="En retard",N(C58)+58/1000000000,"")</f>
        <v/>
      </c>
    </row>
    <row r="59" ht="16" customHeight="1">
      <c r="A59" s="14" t="n"/>
      <c r="B59" s="14" t="n"/>
      <c r="C59" s="22" t="n"/>
      <c r="D59" s="17" t="n"/>
      <c r="E59" s="17" t="n"/>
      <c r="F59" s="32">
        <f>IF(AND(A59="",B59="",C59="",D59="",E59=""),"",IF(D59="","Échéance à saisir",IF(E59&lt;&gt;"",IF(E59&lt;=D59,"Payée","Payée en retard"),IF($C$5&lt;=D59,"À échoir","En retard"))))</f>
        <v/>
      </c>
      <c r="G59" s="31">
        <f>IF(OR(F59="",D59=""),"",IF(E59&lt;&gt;"",MAX(0,E59-D59),MAX(0,$C$5-D59)))</f>
        <v/>
      </c>
      <c r="H59" s="14" t="n"/>
      <c r="I59" s="17" t="n"/>
      <c r="J59" s="41">
        <f>IF(S59="","",IF(S59&gt;5,"Suite avec votre avocat",INDEX($F$5:$F$9,S59)))</f>
        <v/>
      </c>
      <c r="K59" s="20">
        <f>IF(S59="","",IF(S59&gt;5,"",D59+INDEX($G$5:$G$9,S59)))</f>
        <v/>
      </c>
      <c r="L59" s="54">
        <f>IF(S59="","",IF(S59&gt;5,"À décider",IF(K59&lt;=$C$5,"À faire","")))</f>
        <v/>
      </c>
      <c r="M59" s="55">
        <f>IF(F59="","",IF(N(G59)&lt;=0,0,N(C59)*$C$6*G59/365))</f>
        <v/>
      </c>
      <c r="N59" s="33">
        <f>IF(F59="","",IF(N(G59)&lt;=0,0,N($C$7)))</f>
        <v/>
      </c>
      <c r="O59" s="14" t="n"/>
      <c r="P59" s="9">
        <f>IF(OR(F59="À échoir",F59="En retard"),$C$5-D59,"")</f>
        <v/>
      </c>
      <c r="Q59" s="9">
        <f>IF(P59="","",(P59&gt;=$G$5)+(P59&gt;=$G$6)+(P59&gt;=$G$7)+(P59&gt;=$G$8)+(P59&gt;=$G$9))</f>
        <v/>
      </c>
      <c r="R59" s="9">
        <f>IF(H59="",0,IFERROR(MATCH(H59,$F$5:$F$9,0),0))</f>
        <v/>
      </c>
      <c r="S59" s="9">
        <f>IF(Q59="","",IF(R59&gt;=Q59,R59+1,Q59))</f>
        <v/>
      </c>
      <c r="T59" s="9">
        <f>IF(F59="En retard",N(C59)+59/1000000000,"")</f>
        <v/>
      </c>
    </row>
    <row r="60" ht="16" customHeight="1">
      <c r="A60" s="14" t="n"/>
      <c r="B60" s="14" t="n"/>
      <c r="C60" s="22" t="n"/>
      <c r="D60" s="17" t="n"/>
      <c r="E60" s="17" t="n"/>
      <c r="F60" s="32">
        <f>IF(AND(A60="",B60="",C60="",D60="",E60=""),"",IF(D60="","Échéance à saisir",IF(E60&lt;&gt;"",IF(E60&lt;=D60,"Payée","Payée en retard"),IF($C$5&lt;=D60,"À échoir","En retard"))))</f>
        <v/>
      </c>
      <c r="G60" s="31">
        <f>IF(OR(F60="",D60=""),"",IF(E60&lt;&gt;"",MAX(0,E60-D60),MAX(0,$C$5-D60)))</f>
        <v/>
      </c>
      <c r="H60" s="14" t="n"/>
      <c r="I60" s="17" t="n"/>
      <c r="J60" s="41">
        <f>IF(S60="","",IF(S60&gt;5,"Suite avec votre avocat",INDEX($F$5:$F$9,S60)))</f>
        <v/>
      </c>
      <c r="K60" s="20">
        <f>IF(S60="","",IF(S60&gt;5,"",D60+INDEX($G$5:$G$9,S60)))</f>
        <v/>
      </c>
      <c r="L60" s="54">
        <f>IF(S60="","",IF(S60&gt;5,"À décider",IF(K60&lt;=$C$5,"À faire","")))</f>
        <v/>
      </c>
      <c r="M60" s="55">
        <f>IF(F60="","",IF(N(G60)&lt;=0,0,N(C60)*$C$6*G60/365))</f>
        <v/>
      </c>
      <c r="N60" s="33">
        <f>IF(F60="","",IF(N(G60)&lt;=0,0,N($C$7)))</f>
        <v/>
      </c>
      <c r="O60" s="14" t="n"/>
      <c r="P60" s="9">
        <f>IF(OR(F60="À échoir",F60="En retard"),$C$5-D60,"")</f>
        <v/>
      </c>
      <c r="Q60" s="9">
        <f>IF(P60="","",(P60&gt;=$G$5)+(P60&gt;=$G$6)+(P60&gt;=$G$7)+(P60&gt;=$G$8)+(P60&gt;=$G$9))</f>
        <v/>
      </c>
      <c r="R60" s="9">
        <f>IF(H60="",0,IFERROR(MATCH(H60,$F$5:$F$9,0),0))</f>
        <v/>
      </c>
      <c r="S60" s="9">
        <f>IF(Q60="","",IF(R60&gt;=Q60,R60+1,Q60))</f>
        <v/>
      </c>
      <c r="T60" s="9">
        <f>IF(F60="En retard",N(C60)+60/1000000000,"")</f>
        <v/>
      </c>
    </row>
    <row r="61" ht="16" customHeight="1">
      <c r="A61" s="14" t="n"/>
      <c r="B61" s="14" t="n"/>
      <c r="C61" s="22" t="n"/>
      <c r="D61" s="17" t="n"/>
      <c r="E61" s="17" t="n"/>
      <c r="F61" s="32">
        <f>IF(AND(A61="",B61="",C61="",D61="",E61=""),"",IF(D61="","Échéance à saisir",IF(E61&lt;&gt;"",IF(E61&lt;=D61,"Payée","Payée en retard"),IF($C$5&lt;=D61,"À échoir","En retard"))))</f>
        <v/>
      </c>
      <c r="G61" s="31">
        <f>IF(OR(F61="",D61=""),"",IF(E61&lt;&gt;"",MAX(0,E61-D61),MAX(0,$C$5-D61)))</f>
        <v/>
      </c>
      <c r="H61" s="14" t="n"/>
      <c r="I61" s="17" t="n"/>
      <c r="J61" s="41">
        <f>IF(S61="","",IF(S61&gt;5,"Suite avec votre avocat",INDEX($F$5:$F$9,S61)))</f>
        <v/>
      </c>
      <c r="K61" s="20">
        <f>IF(S61="","",IF(S61&gt;5,"",D61+INDEX($G$5:$G$9,S61)))</f>
        <v/>
      </c>
      <c r="L61" s="54">
        <f>IF(S61="","",IF(S61&gt;5,"À décider",IF(K61&lt;=$C$5,"À faire","")))</f>
        <v/>
      </c>
      <c r="M61" s="55">
        <f>IF(F61="","",IF(N(G61)&lt;=0,0,N(C61)*$C$6*G61/365))</f>
        <v/>
      </c>
      <c r="N61" s="33">
        <f>IF(F61="","",IF(N(G61)&lt;=0,0,N($C$7)))</f>
        <v/>
      </c>
      <c r="O61" s="14" t="n"/>
      <c r="P61" s="9">
        <f>IF(OR(F61="À échoir",F61="En retard"),$C$5-D61,"")</f>
        <v/>
      </c>
      <c r="Q61" s="9">
        <f>IF(P61="","",(P61&gt;=$G$5)+(P61&gt;=$G$6)+(P61&gt;=$G$7)+(P61&gt;=$G$8)+(P61&gt;=$G$9))</f>
        <v/>
      </c>
      <c r="R61" s="9">
        <f>IF(H61="",0,IFERROR(MATCH(H61,$F$5:$F$9,0),0))</f>
        <v/>
      </c>
      <c r="S61" s="9">
        <f>IF(Q61="","",IF(R61&gt;=Q61,R61+1,Q61))</f>
        <v/>
      </c>
      <c r="T61" s="9">
        <f>IF(F61="En retard",N(C61)+61/1000000000,"")</f>
        <v/>
      </c>
    </row>
    <row r="62" ht="16" customHeight="1">
      <c r="A62" s="14" t="n"/>
      <c r="B62" s="14" t="n"/>
      <c r="C62" s="22" t="n"/>
      <c r="D62" s="17" t="n"/>
      <c r="E62" s="17" t="n"/>
      <c r="F62" s="32">
        <f>IF(AND(A62="",B62="",C62="",D62="",E62=""),"",IF(D62="","Échéance à saisir",IF(E62&lt;&gt;"",IF(E62&lt;=D62,"Payée","Payée en retard"),IF($C$5&lt;=D62,"À échoir","En retard"))))</f>
        <v/>
      </c>
      <c r="G62" s="31">
        <f>IF(OR(F62="",D62=""),"",IF(E62&lt;&gt;"",MAX(0,E62-D62),MAX(0,$C$5-D62)))</f>
        <v/>
      </c>
      <c r="H62" s="14" t="n"/>
      <c r="I62" s="17" t="n"/>
      <c r="J62" s="41">
        <f>IF(S62="","",IF(S62&gt;5,"Suite avec votre avocat",INDEX($F$5:$F$9,S62)))</f>
        <v/>
      </c>
      <c r="K62" s="20">
        <f>IF(S62="","",IF(S62&gt;5,"",D62+INDEX($G$5:$G$9,S62)))</f>
        <v/>
      </c>
      <c r="L62" s="54">
        <f>IF(S62="","",IF(S62&gt;5,"À décider",IF(K62&lt;=$C$5,"À faire","")))</f>
        <v/>
      </c>
      <c r="M62" s="55">
        <f>IF(F62="","",IF(N(G62)&lt;=0,0,N(C62)*$C$6*G62/365))</f>
        <v/>
      </c>
      <c r="N62" s="33">
        <f>IF(F62="","",IF(N(G62)&lt;=0,0,N($C$7)))</f>
        <v/>
      </c>
      <c r="O62" s="14" t="n"/>
      <c r="P62" s="9">
        <f>IF(OR(F62="À échoir",F62="En retard"),$C$5-D62,"")</f>
        <v/>
      </c>
      <c r="Q62" s="9">
        <f>IF(P62="","",(P62&gt;=$G$5)+(P62&gt;=$G$6)+(P62&gt;=$G$7)+(P62&gt;=$G$8)+(P62&gt;=$G$9))</f>
        <v/>
      </c>
      <c r="R62" s="9">
        <f>IF(H62="",0,IFERROR(MATCH(H62,$F$5:$F$9,0),0))</f>
        <v/>
      </c>
      <c r="S62" s="9">
        <f>IF(Q62="","",IF(R62&gt;=Q62,R62+1,Q62))</f>
        <v/>
      </c>
      <c r="T62" s="9">
        <f>IF(F62="En retard",N(C62)+62/1000000000,"")</f>
        <v/>
      </c>
    </row>
    <row r="63" ht="16" customHeight="1">
      <c r="A63" s="14" t="n"/>
      <c r="B63" s="14" t="n"/>
      <c r="C63" s="22" t="n"/>
      <c r="D63" s="17" t="n"/>
      <c r="E63" s="17" t="n"/>
      <c r="F63" s="32">
        <f>IF(AND(A63="",B63="",C63="",D63="",E63=""),"",IF(D63="","Échéance à saisir",IF(E63&lt;&gt;"",IF(E63&lt;=D63,"Payée","Payée en retard"),IF($C$5&lt;=D63,"À échoir","En retard"))))</f>
        <v/>
      </c>
      <c r="G63" s="31">
        <f>IF(OR(F63="",D63=""),"",IF(E63&lt;&gt;"",MAX(0,E63-D63),MAX(0,$C$5-D63)))</f>
        <v/>
      </c>
      <c r="H63" s="14" t="n"/>
      <c r="I63" s="17" t="n"/>
      <c r="J63" s="41">
        <f>IF(S63="","",IF(S63&gt;5,"Suite avec votre avocat",INDEX($F$5:$F$9,S63)))</f>
        <v/>
      </c>
      <c r="K63" s="20">
        <f>IF(S63="","",IF(S63&gt;5,"",D63+INDEX($G$5:$G$9,S63)))</f>
        <v/>
      </c>
      <c r="L63" s="54">
        <f>IF(S63="","",IF(S63&gt;5,"À décider",IF(K63&lt;=$C$5,"À faire","")))</f>
        <v/>
      </c>
      <c r="M63" s="55">
        <f>IF(F63="","",IF(N(G63)&lt;=0,0,N(C63)*$C$6*G63/365))</f>
        <v/>
      </c>
      <c r="N63" s="33">
        <f>IF(F63="","",IF(N(G63)&lt;=0,0,N($C$7)))</f>
        <v/>
      </c>
      <c r="O63" s="14" t="n"/>
      <c r="P63" s="9">
        <f>IF(OR(F63="À échoir",F63="En retard"),$C$5-D63,"")</f>
        <v/>
      </c>
      <c r="Q63" s="9">
        <f>IF(P63="","",(P63&gt;=$G$5)+(P63&gt;=$G$6)+(P63&gt;=$G$7)+(P63&gt;=$G$8)+(P63&gt;=$G$9))</f>
        <v/>
      </c>
      <c r="R63" s="9">
        <f>IF(H63="",0,IFERROR(MATCH(H63,$F$5:$F$9,0),0))</f>
        <v/>
      </c>
      <c r="S63" s="9">
        <f>IF(Q63="","",IF(R63&gt;=Q63,R63+1,Q63))</f>
        <v/>
      </c>
      <c r="T63" s="9">
        <f>IF(F63="En retard",N(C63)+63/1000000000,"")</f>
        <v/>
      </c>
    </row>
    <row r="64" ht="16" customHeight="1">
      <c r="A64" s="14" t="n"/>
      <c r="B64" s="14" t="n"/>
      <c r="C64" s="22" t="n"/>
      <c r="D64" s="17" t="n"/>
      <c r="E64" s="17" t="n"/>
      <c r="F64" s="32">
        <f>IF(AND(A64="",B64="",C64="",D64="",E64=""),"",IF(D64="","Échéance à saisir",IF(E64&lt;&gt;"",IF(E64&lt;=D64,"Payée","Payée en retard"),IF($C$5&lt;=D64,"À échoir","En retard"))))</f>
        <v/>
      </c>
      <c r="G64" s="31">
        <f>IF(OR(F64="",D64=""),"",IF(E64&lt;&gt;"",MAX(0,E64-D64),MAX(0,$C$5-D64)))</f>
        <v/>
      </c>
      <c r="H64" s="14" t="n"/>
      <c r="I64" s="17" t="n"/>
      <c r="J64" s="41">
        <f>IF(S64="","",IF(S64&gt;5,"Suite avec votre avocat",INDEX($F$5:$F$9,S64)))</f>
        <v/>
      </c>
      <c r="K64" s="20">
        <f>IF(S64="","",IF(S64&gt;5,"",D64+INDEX($G$5:$G$9,S64)))</f>
        <v/>
      </c>
      <c r="L64" s="54">
        <f>IF(S64="","",IF(S64&gt;5,"À décider",IF(K64&lt;=$C$5,"À faire","")))</f>
        <v/>
      </c>
      <c r="M64" s="55">
        <f>IF(F64="","",IF(N(G64)&lt;=0,0,N(C64)*$C$6*G64/365))</f>
        <v/>
      </c>
      <c r="N64" s="33">
        <f>IF(F64="","",IF(N(G64)&lt;=0,0,N($C$7)))</f>
        <v/>
      </c>
      <c r="O64" s="14" t="n"/>
      <c r="P64" s="9">
        <f>IF(OR(F64="À échoir",F64="En retard"),$C$5-D64,"")</f>
        <v/>
      </c>
      <c r="Q64" s="9">
        <f>IF(P64="","",(P64&gt;=$G$5)+(P64&gt;=$G$6)+(P64&gt;=$G$7)+(P64&gt;=$G$8)+(P64&gt;=$G$9))</f>
        <v/>
      </c>
      <c r="R64" s="9">
        <f>IF(H64="",0,IFERROR(MATCH(H64,$F$5:$F$9,0),0))</f>
        <v/>
      </c>
      <c r="S64" s="9">
        <f>IF(Q64="","",IF(R64&gt;=Q64,R64+1,Q64))</f>
        <v/>
      </c>
      <c r="T64" s="9">
        <f>IF(F64="En retard",N(C64)+64/1000000000,"")</f>
        <v/>
      </c>
    </row>
    <row r="65" ht="16" customHeight="1">
      <c r="A65" s="14" t="n"/>
      <c r="B65" s="14" t="n"/>
      <c r="C65" s="22" t="n"/>
      <c r="D65" s="17" t="n"/>
      <c r="E65" s="17" t="n"/>
      <c r="F65" s="32">
        <f>IF(AND(A65="",B65="",C65="",D65="",E65=""),"",IF(D65="","Échéance à saisir",IF(E65&lt;&gt;"",IF(E65&lt;=D65,"Payée","Payée en retard"),IF($C$5&lt;=D65,"À échoir","En retard"))))</f>
        <v/>
      </c>
      <c r="G65" s="31">
        <f>IF(OR(F65="",D65=""),"",IF(E65&lt;&gt;"",MAX(0,E65-D65),MAX(0,$C$5-D65)))</f>
        <v/>
      </c>
      <c r="H65" s="14" t="n"/>
      <c r="I65" s="17" t="n"/>
      <c r="J65" s="41">
        <f>IF(S65="","",IF(S65&gt;5,"Suite avec votre avocat",INDEX($F$5:$F$9,S65)))</f>
        <v/>
      </c>
      <c r="K65" s="20">
        <f>IF(S65="","",IF(S65&gt;5,"",D65+INDEX($G$5:$G$9,S65)))</f>
        <v/>
      </c>
      <c r="L65" s="54">
        <f>IF(S65="","",IF(S65&gt;5,"À décider",IF(K65&lt;=$C$5,"À faire","")))</f>
        <v/>
      </c>
      <c r="M65" s="55">
        <f>IF(F65="","",IF(N(G65)&lt;=0,0,N(C65)*$C$6*G65/365))</f>
        <v/>
      </c>
      <c r="N65" s="33">
        <f>IF(F65="","",IF(N(G65)&lt;=0,0,N($C$7)))</f>
        <v/>
      </c>
      <c r="O65" s="14" t="n"/>
      <c r="P65" s="9">
        <f>IF(OR(F65="À échoir",F65="En retard"),$C$5-D65,"")</f>
        <v/>
      </c>
      <c r="Q65" s="9">
        <f>IF(P65="","",(P65&gt;=$G$5)+(P65&gt;=$G$6)+(P65&gt;=$G$7)+(P65&gt;=$G$8)+(P65&gt;=$G$9))</f>
        <v/>
      </c>
      <c r="R65" s="9">
        <f>IF(H65="",0,IFERROR(MATCH(H65,$F$5:$F$9,0),0))</f>
        <v/>
      </c>
      <c r="S65" s="9">
        <f>IF(Q65="","",IF(R65&gt;=Q65,R65+1,Q65))</f>
        <v/>
      </c>
      <c r="T65" s="9">
        <f>IF(F65="En retard",N(C65)+65/1000000000,"")</f>
        <v/>
      </c>
    </row>
    <row r="66" ht="16" customHeight="1">
      <c r="A66" s="14" t="n"/>
      <c r="B66" s="14" t="n"/>
      <c r="C66" s="22" t="n"/>
      <c r="D66" s="17" t="n"/>
      <c r="E66" s="17" t="n"/>
      <c r="F66" s="32">
        <f>IF(AND(A66="",B66="",C66="",D66="",E66=""),"",IF(D66="","Échéance à saisir",IF(E66&lt;&gt;"",IF(E66&lt;=D66,"Payée","Payée en retard"),IF($C$5&lt;=D66,"À échoir","En retard"))))</f>
        <v/>
      </c>
      <c r="G66" s="31">
        <f>IF(OR(F66="",D66=""),"",IF(E66&lt;&gt;"",MAX(0,E66-D66),MAX(0,$C$5-D66)))</f>
        <v/>
      </c>
      <c r="H66" s="14" t="n"/>
      <c r="I66" s="17" t="n"/>
      <c r="J66" s="41">
        <f>IF(S66="","",IF(S66&gt;5,"Suite avec votre avocat",INDEX($F$5:$F$9,S66)))</f>
        <v/>
      </c>
      <c r="K66" s="20">
        <f>IF(S66="","",IF(S66&gt;5,"",D66+INDEX($G$5:$G$9,S66)))</f>
        <v/>
      </c>
      <c r="L66" s="54">
        <f>IF(S66="","",IF(S66&gt;5,"À décider",IF(K66&lt;=$C$5,"À faire","")))</f>
        <v/>
      </c>
      <c r="M66" s="55">
        <f>IF(F66="","",IF(N(G66)&lt;=0,0,N(C66)*$C$6*G66/365))</f>
        <v/>
      </c>
      <c r="N66" s="33">
        <f>IF(F66="","",IF(N(G66)&lt;=0,0,N($C$7)))</f>
        <v/>
      </c>
      <c r="O66" s="14" t="n"/>
      <c r="P66" s="9">
        <f>IF(OR(F66="À échoir",F66="En retard"),$C$5-D66,"")</f>
        <v/>
      </c>
      <c r="Q66" s="9">
        <f>IF(P66="","",(P66&gt;=$G$5)+(P66&gt;=$G$6)+(P66&gt;=$G$7)+(P66&gt;=$G$8)+(P66&gt;=$G$9))</f>
        <v/>
      </c>
      <c r="R66" s="9">
        <f>IF(H66="",0,IFERROR(MATCH(H66,$F$5:$F$9,0),0))</f>
        <v/>
      </c>
      <c r="S66" s="9">
        <f>IF(Q66="","",IF(R66&gt;=Q66,R66+1,Q66))</f>
        <v/>
      </c>
      <c r="T66" s="9">
        <f>IF(F66="En retard",N(C66)+66/1000000000,"")</f>
        <v/>
      </c>
    </row>
    <row r="67" ht="16" customHeight="1">
      <c r="A67" s="14" t="n"/>
      <c r="B67" s="14" t="n"/>
      <c r="C67" s="22" t="n"/>
      <c r="D67" s="17" t="n"/>
      <c r="E67" s="17" t="n"/>
      <c r="F67" s="32">
        <f>IF(AND(A67="",B67="",C67="",D67="",E67=""),"",IF(D67="","Échéance à saisir",IF(E67&lt;&gt;"",IF(E67&lt;=D67,"Payée","Payée en retard"),IF($C$5&lt;=D67,"À échoir","En retard"))))</f>
        <v/>
      </c>
      <c r="G67" s="31">
        <f>IF(OR(F67="",D67=""),"",IF(E67&lt;&gt;"",MAX(0,E67-D67),MAX(0,$C$5-D67)))</f>
        <v/>
      </c>
      <c r="H67" s="14" t="n"/>
      <c r="I67" s="17" t="n"/>
      <c r="J67" s="41">
        <f>IF(S67="","",IF(S67&gt;5,"Suite avec votre avocat",INDEX($F$5:$F$9,S67)))</f>
        <v/>
      </c>
      <c r="K67" s="20">
        <f>IF(S67="","",IF(S67&gt;5,"",D67+INDEX($G$5:$G$9,S67)))</f>
        <v/>
      </c>
      <c r="L67" s="54">
        <f>IF(S67="","",IF(S67&gt;5,"À décider",IF(K67&lt;=$C$5,"À faire","")))</f>
        <v/>
      </c>
      <c r="M67" s="55">
        <f>IF(F67="","",IF(N(G67)&lt;=0,0,N(C67)*$C$6*G67/365))</f>
        <v/>
      </c>
      <c r="N67" s="33">
        <f>IF(F67="","",IF(N(G67)&lt;=0,0,N($C$7)))</f>
        <v/>
      </c>
      <c r="O67" s="14" t="n"/>
      <c r="P67" s="9">
        <f>IF(OR(F67="À échoir",F67="En retard"),$C$5-D67,"")</f>
        <v/>
      </c>
      <c r="Q67" s="9">
        <f>IF(P67="","",(P67&gt;=$G$5)+(P67&gt;=$G$6)+(P67&gt;=$G$7)+(P67&gt;=$G$8)+(P67&gt;=$G$9))</f>
        <v/>
      </c>
      <c r="R67" s="9">
        <f>IF(H67="",0,IFERROR(MATCH(H67,$F$5:$F$9,0),0))</f>
        <v/>
      </c>
      <c r="S67" s="9">
        <f>IF(Q67="","",IF(R67&gt;=Q67,R67+1,Q67))</f>
        <v/>
      </c>
      <c r="T67" s="9">
        <f>IF(F67="En retard",N(C67)+67/1000000000,"")</f>
        <v/>
      </c>
    </row>
    <row r="68" ht="16" customHeight="1">
      <c r="A68" s="14" t="n"/>
      <c r="B68" s="14" t="n"/>
      <c r="C68" s="22" t="n"/>
      <c r="D68" s="17" t="n"/>
      <c r="E68" s="17" t="n"/>
      <c r="F68" s="32">
        <f>IF(AND(A68="",B68="",C68="",D68="",E68=""),"",IF(D68="","Échéance à saisir",IF(E68&lt;&gt;"",IF(E68&lt;=D68,"Payée","Payée en retard"),IF($C$5&lt;=D68,"À échoir","En retard"))))</f>
        <v/>
      </c>
      <c r="G68" s="31">
        <f>IF(OR(F68="",D68=""),"",IF(E68&lt;&gt;"",MAX(0,E68-D68),MAX(0,$C$5-D68)))</f>
        <v/>
      </c>
      <c r="H68" s="14" t="n"/>
      <c r="I68" s="17" t="n"/>
      <c r="J68" s="41">
        <f>IF(S68="","",IF(S68&gt;5,"Suite avec votre avocat",INDEX($F$5:$F$9,S68)))</f>
        <v/>
      </c>
      <c r="K68" s="20">
        <f>IF(S68="","",IF(S68&gt;5,"",D68+INDEX($G$5:$G$9,S68)))</f>
        <v/>
      </c>
      <c r="L68" s="54">
        <f>IF(S68="","",IF(S68&gt;5,"À décider",IF(K68&lt;=$C$5,"À faire","")))</f>
        <v/>
      </c>
      <c r="M68" s="55">
        <f>IF(F68="","",IF(N(G68)&lt;=0,0,N(C68)*$C$6*G68/365))</f>
        <v/>
      </c>
      <c r="N68" s="33">
        <f>IF(F68="","",IF(N(G68)&lt;=0,0,N($C$7)))</f>
        <v/>
      </c>
      <c r="O68" s="14" t="n"/>
      <c r="P68" s="9">
        <f>IF(OR(F68="À échoir",F68="En retard"),$C$5-D68,"")</f>
        <v/>
      </c>
      <c r="Q68" s="9">
        <f>IF(P68="","",(P68&gt;=$G$5)+(P68&gt;=$G$6)+(P68&gt;=$G$7)+(P68&gt;=$G$8)+(P68&gt;=$G$9))</f>
        <v/>
      </c>
      <c r="R68" s="9">
        <f>IF(H68="",0,IFERROR(MATCH(H68,$F$5:$F$9,0),0))</f>
        <v/>
      </c>
      <c r="S68" s="9">
        <f>IF(Q68="","",IF(R68&gt;=Q68,R68+1,Q68))</f>
        <v/>
      </c>
      <c r="T68" s="9">
        <f>IF(F68="En retard",N(C68)+68/1000000000,"")</f>
        <v/>
      </c>
    </row>
    <row r="69" ht="16" customHeight="1">
      <c r="A69" s="14" t="n"/>
      <c r="B69" s="14" t="n"/>
      <c r="C69" s="22" t="n"/>
      <c r="D69" s="17" t="n"/>
      <c r="E69" s="17" t="n"/>
      <c r="F69" s="32">
        <f>IF(AND(A69="",B69="",C69="",D69="",E69=""),"",IF(D69="","Échéance à saisir",IF(E69&lt;&gt;"",IF(E69&lt;=D69,"Payée","Payée en retard"),IF($C$5&lt;=D69,"À échoir","En retard"))))</f>
        <v/>
      </c>
      <c r="G69" s="31">
        <f>IF(OR(F69="",D69=""),"",IF(E69&lt;&gt;"",MAX(0,E69-D69),MAX(0,$C$5-D69)))</f>
        <v/>
      </c>
      <c r="H69" s="14" t="n"/>
      <c r="I69" s="17" t="n"/>
      <c r="J69" s="41">
        <f>IF(S69="","",IF(S69&gt;5,"Suite avec votre avocat",INDEX($F$5:$F$9,S69)))</f>
        <v/>
      </c>
      <c r="K69" s="20">
        <f>IF(S69="","",IF(S69&gt;5,"",D69+INDEX($G$5:$G$9,S69)))</f>
        <v/>
      </c>
      <c r="L69" s="54">
        <f>IF(S69="","",IF(S69&gt;5,"À décider",IF(K69&lt;=$C$5,"À faire","")))</f>
        <v/>
      </c>
      <c r="M69" s="55">
        <f>IF(F69="","",IF(N(G69)&lt;=0,0,N(C69)*$C$6*G69/365))</f>
        <v/>
      </c>
      <c r="N69" s="33">
        <f>IF(F69="","",IF(N(G69)&lt;=0,0,N($C$7)))</f>
        <v/>
      </c>
      <c r="O69" s="14" t="n"/>
      <c r="P69" s="9">
        <f>IF(OR(F69="À échoir",F69="En retard"),$C$5-D69,"")</f>
        <v/>
      </c>
      <c r="Q69" s="9">
        <f>IF(P69="","",(P69&gt;=$G$5)+(P69&gt;=$G$6)+(P69&gt;=$G$7)+(P69&gt;=$G$8)+(P69&gt;=$G$9))</f>
        <v/>
      </c>
      <c r="R69" s="9">
        <f>IF(H69="",0,IFERROR(MATCH(H69,$F$5:$F$9,0),0))</f>
        <v/>
      </c>
      <c r="S69" s="9">
        <f>IF(Q69="","",IF(R69&gt;=Q69,R69+1,Q69))</f>
        <v/>
      </c>
      <c r="T69" s="9">
        <f>IF(F69="En retard",N(C69)+69/1000000000,"")</f>
        <v/>
      </c>
    </row>
    <row r="70" ht="16" customHeight="1">
      <c r="A70" s="14" t="n"/>
      <c r="B70" s="14" t="n"/>
      <c r="C70" s="22" t="n"/>
      <c r="D70" s="17" t="n"/>
      <c r="E70" s="17" t="n"/>
      <c r="F70" s="32">
        <f>IF(AND(A70="",B70="",C70="",D70="",E70=""),"",IF(D70="","Échéance à saisir",IF(E70&lt;&gt;"",IF(E70&lt;=D70,"Payée","Payée en retard"),IF($C$5&lt;=D70,"À échoir","En retard"))))</f>
        <v/>
      </c>
      <c r="G70" s="31">
        <f>IF(OR(F70="",D70=""),"",IF(E70&lt;&gt;"",MAX(0,E70-D70),MAX(0,$C$5-D70)))</f>
        <v/>
      </c>
      <c r="H70" s="14" t="n"/>
      <c r="I70" s="17" t="n"/>
      <c r="J70" s="41">
        <f>IF(S70="","",IF(S70&gt;5,"Suite avec votre avocat",INDEX($F$5:$F$9,S70)))</f>
        <v/>
      </c>
      <c r="K70" s="20">
        <f>IF(S70="","",IF(S70&gt;5,"",D70+INDEX($G$5:$G$9,S70)))</f>
        <v/>
      </c>
      <c r="L70" s="54">
        <f>IF(S70="","",IF(S70&gt;5,"À décider",IF(K70&lt;=$C$5,"À faire","")))</f>
        <v/>
      </c>
      <c r="M70" s="55">
        <f>IF(F70="","",IF(N(G70)&lt;=0,0,N(C70)*$C$6*G70/365))</f>
        <v/>
      </c>
      <c r="N70" s="33">
        <f>IF(F70="","",IF(N(G70)&lt;=0,0,N($C$7)))</f>
        <v/>
      </c>
      <c r="O70" s="14" t="n"/>
      <c r="P70" s="9">
        <f>IF(OR(F70="À échoir",F70="En retard"),$C$5-D70,"")</f>
        <v/>
      </c>
      <c r="Q70" s="9">
        <f>IF(P70="","",(P70&gt;=$G$5)+(P70&gt;=$G$6)+(P70&gt;=$G$7)+(P70&gt;=$G$8)+(P70&gt;=$G$9))</f>
        <v/>
      </c>
      <c r="R70" s="9">
        <f>IF(H70="",0,IFERROR(MATCH(H70,$F$5:$F$9,0),0))</f>
        <v/>
      </c>
      <c r="S70" s="9">
        <f>IF(Q70="","",IF(R70&gt;=Q70,R70+1,Q70))</f>
        <v/>
      </c>
      <c r="T70" s="9">
        <f>IF(F70="En retard",N(C70)+70/1000000000,"")</f>
        <v/>
      </c>
    </row>
    <row r="71" ht="16" customHeight="1">
      <c r="A71" s="14" t="n"/>
      <c r="B71" s="14" t="n"/>
      <c r="C71" s="22" t="n"/>
      <c r="D71" s="17" t="n"/>
      <c r="E71" s="17" t="n"/>
      <c r="F71" s="32">
        <f>IF(AND(A71="",B71="",C71="",D71="",E71=""),"",IF(D71="","Échéance à saisir",IF(E71&lt;&gt;"",IF(E71&lt;=D71,"Payée","Payée en retard"),IF($C$5&lt;=D71,"À échoir","En retard"))))</f>
        <v/>
      </c>
      <c r="G71" s="31">
        <f>IF(OR(F71="",D71=""),"",IF(E71&lt;&gt;"",MAX(0,E71-D71),MAX(0,$C$5-D71)))</f>
        <v/>
      </c>
      <c r="H71" s="14" t="n"/>
      <c r="I71" s="17" t="n"/>
      <c r="J71" s="41">
        <f>IF(S71="","",IF(S71&gt;5,"Suite avec votre avocat",INDEX($F$5:$F$9,S71)))</f>
        <v/>
      </c>
      <c r="K71" s="20">
        <f>IF(S71="","",IF(S71&gt;5,"",D71+INDEX($G$5:$G$9,S71)))</f>
        <v/>
      </c>
      <c r="L71" s="54">
        <f>IF(S71="","",IF(S71&gt;5,"À décider",IF(K71&lt;=$C$5,"À faire","")))</f>
        <v/>
      </c>
      <c r="M71" s="55">
        <f>IF(F71="","",IF(N(G71)&lt;=0,0,N(C71)*$C$6*G71/365))</f>
        <v/>
      </c>
      <c r="N71" s="33">
        <f>IF(F71="","",IF(N(G71)&lt;=0,0,N($C$7)))</f>
        <v/>
      </c>
      <c r="O71" s="14" t="n"/>
      <c r="P71" s="9">
        <f>IF(OR(F71="À échoir",F71="En retard"),$C$5-D71,"")</f>
        <v/>
      </c>
      <c r="Q71" s="9">
        <f>IF(P71="","",(P71&gt;=$G$5)+(P71&gt;=$G$6)+(P71&gt;=$G$7)+(P71&gt;=$G$8)+(P71&gt;=$G$9))</f>
        <v/>
      </c>
      <c r="R71" s="9">
        <f>IF(H71="",0,IFERROR(MATCH(H71,$F$5:$F$9,0),0))</f>
        <v/>
      </c>
      <c r="S71" s="9">
        <f>IF(Q71="","",IF(R71&gt;=Q71,R71+1,Q71))</f>
        <v/>
      </c>
      <c r="T71" s="9">
        <f>IF(F71="En retard",N(C71)+71/1000000000,"")</f>
        <v/>
      </c>
    </row>
    <row r="72" ht="16" customHeight="1">
      <c r="A72" s="14" t="n"/>
      <c r="B72" s="14" t="n"/>
      <c r="C72" s="22" t="n"/>
      <c r="D72" s="17" t="n"/>
      <c r="E72" s="17" t="n"/>
      <c r="F72" s="32">
        <f>IF(AND(A72="",B72="",C72="",D72="",E72=""),"",IF(D72="","Échéance à saisir",IF(E72&lt;&gt;"",IF(E72&lt;=D72,"Payée","Payée en retard"),IF($C$5&lt;=D72,"À échoir","En retard"))))</f>
        <v/>
      </c>
      <c r="G72" s="31">
        <f>IF(OR(F72="",D72=""),"",IF(E72&lt;&gt;"",MAX(0,E72-D72),MAX(0,$C$5-D72)))</f>
        <v/>
      </c>
      <c r="H72" s="14" t="n"/>
      <c r="I72" s="17" t="n"/>
      <c r="J72" s="41">
        <f>IF(S72="","",IF(S72&gt;5,"Suite avec votre avocat",INDEX($F$5:$F$9,S72)))</f>
        <v/>
      </c>
      <c r="K72" s="20">
        <f>IF(S72="","",IF(S72&gt;5,"",D72+INDEX($G$5:$G$9,S72)))</f>
        <v/>
      </c>
      <c r="L72" s="54">
        <f>IF(S72="","",IF(S72&gt;5,"À décider",IF(K72&lt;=$C$5,"À faire","")))</f>
        <v/>
      </c>
      <c r="M72" s="55">
        <f>IF(F72="","",IF(N(G72)&lt;=0,0,N(C72)*$C$6*G72/365))</f>
        <v/>
      </c>
      <c r="N72" s="33">
        <f>IF(F72="","",IF(N(G72)&lt;=0,0,N($C$7)))</f>
        <v/>
      </c>
      <c r="O72" s="14" t="n"/>
      <c r="P72" s="9">
        <f>IF(OR(F72="À échoir",F72="En retard"),$C$5-D72,"")</f>
        <v/>
      </c>
      <c r="Q72" s="9">
        <f>IF(P72="","",(P72&gt;=$G$5)+(P72&gt;=$G$6)+(P72&gt;=$G$7)+(P72&gt;=$G$8)+(P72&gt;=$G$9))</f>
        <v/>
      </c>
      <c r="R72" s="9">
        <f>IF(H72="",0,IFERROR(MATCH(H72,$F$5:$F$9,0),0))</f>
        <v/>
      </c>
      <c r="S72" s="9">
        <f>IF(Q72="","",IF(R72&gt;=Q72,R72+1,Q72))</f>
        <v/>
      </c>
      <c r="T72" s="9">
        <f>IF(F72="En retard",N(C72)+72/1000000000,"")</f>
        <v/>
      </c>
    </row>
    <row r="73" ht="16" customHeight="1">
      <c r="A73" s="14" t="n"/>
      <c r="B73" s="14" t="n"/>
      <c r="C73" s="22" t="n"/>
      <c r="D73" s="17" t="n"/>
      <c r="E73" s="17" t="n"/>
      <c r="F73" s="32">
        <f>IF(AND(A73="",B73="",C73="",D73="",E73=""),"",IF(D73="","Échéance à saisir",IF(E73&lt;&gt;"",IF(E73&lt;=D73,"Payée","Payée en retard"),IF($C$5&lt;=D73,"À échoir","En retard"))))</f>
        <v/>
      </c>
      <c r="G73" s="31">
        <f>IF(OR(F73="",D73=""),"",IF(E73&lt;&gt;"",MAX(0,E73-D73),MAX(0,$C$5-D73)))</f>
        <v/>
      </c>
      <c r="H73" s="14" t="n"/>
      <c r="I73" s="17" t="n"/>
      <c r="J73" s="41">
        <f>IF(S73="","",IF(S73&gt;5,"Suite avec votre avocat",INDEX($F$5:$F$9,S73)))</f>
        <v/>
      </c>
      <c r="K73" s="20">
        <f>IF(S73="","",IF(S73&gt;5,"",D73+INDEX($G$5:$G$9,S73)))</f>
        <v/>
      </c>
      <c r="L73" s="54">
        <f>IF(S73="","",IF(S73&gt;5,"À décider",IF(K73&lt;=$C$5,"À faire","")))</f>
        <v/>
      </c>
      <c r="M73" s="55">
        <f>IF(F73="","",IF(N(G73)&lt;=0,0,N(C73)*$C$6*G73/365))</f>
        <v/>
      </c>
      <c r="N73" s="33">
        <f>IF(F73="","",IF(N(G73)&lt;=0,0,N($C$7)))</f>
        <v/>
      </c>
      <c r="O73" s="14" t="n"/>
      <c r="P73" s="9">
        <f>IF(OR(F73="À échoir",F73="En retard"),$C$5-D73,"")</f>
        <v/>
      </c>
      <c r="Q73" s="9">
        <f>IF(P73="","",(P73&gt;=$G$5)+(P73&gt;=$G$6)+(P73&gt;=$G$7)+(P73&gt;=$G$8)+(P73&gt;=$G$9))</f>
        <v/>
      </c>
      <c r="R73" s="9">
        <f>IF(H73="",0,IFERROR(MATCH(H73,$F$5:$F$9,0),0))</f>
        <v/>
      </c>
      <c r="S73" s="9">
        <f>IF(Q73="","",IF(R73&gt;=Q73,R73+1,Q73))</f>
        <v/>
      </c>
      <c r="T73" s="9">
        <f>IF(F73="En retard",N(C73)+73/1000000000,"")</f>
        <v/>
      </c>
    </row>
    <row r="74" ht="16" customHeight="1">
      <c r="A74" s="14" t="n"/>
      <c r="B74" s="14" t="n"/>
      <c r="C74" s="22" t="n"/>
      <c r="D74" s="17" t="n"/>
      <c r="E74" s="17" t="n"/>
      <c r="F74" s="32">
        <f>IF(AND(A74="",B74="",C74="",D74="",E74=""),"",IF(D74="","Échéance à saisir",IF(E74&lt;&gt;"",IF(E74&lt;=D74,"Payée","Payée en retard"),IF($C$5&lt;=D74,"À échoir","En retard"))))</f>
        <v/>
      </c>
      <c r="G74" s="31">
        <f>IF(OR(F74="",D74=""),"",IF(E74&lt;&gt;"",MAX(0,E74-D74),MAX(0,$C$5-D74)))</f>
        <v/>
      </c>
      <c r="H74" s="14" t="n"/>
      <c r="I74" s="17" t="n"/>
      <c r="J74" s="41">
        <f>IF(S74="","",IF(S74&gt;5,"Suite avec votre avocat",INDEX($F$5:$F$9,S74)))</f>
        <v/>
      </c>
      <c r="K74" s="20">
        <f>IF(S74="","",IF(S74&gt;5,"",D74+INDEX($G$5:$G$9,S74)))</f>
        <v/>
      </c>
      <c r="L74" s="54">
        <f>IF(S74="","",IF(S74&gt;5,"À décider",IF(K74&lt;=$C$5,"À faire","")))</f>
        <v/>
      </c>
      <c r="M74" s="55">
        <f>IF(F74="","",IF(N(G74)&lt;=0,0,N(C74)*$C$6*G74/365))</f>
        <v/>
      </c>
      <c r="N74" s="33">
        <f>IF(F74="","",IF(N(G74)&lt;=0,0,N($C$7)))</f>
        <v/>
      </c>
      <c r="O74" s="14" t="n"/>
      <c r="P74" s="9">
        <f>IF(OR(F74="À échoir",F74="En retard"),$C$5-D74,"")</f>
        <v/>
      </c>
      <c r="Q74" s="9">
        <f>IF(P74="","",(P74&gt;=$G$5)+(P74&gt;=$G$6)+(P74&gt;=$G$7)+(P74&gt;=$G$8)+(P74&gt;=$G$9))</f>
        <v/>
      </c>
      <c r="R74" s="9">
        <f>IF(H74="",0,IFERROR(MATCH(H74,$F$5:$F$9,0),0))</f>
        <v/>
      </c>
      <c r="S74" s="9">
        <f>IF(Q74="","",IF(R74&gt;=Q74,R74+1,Q74))</f>
        <v/>
      </c>
      <c r="T74" s="9">
        <f>IF(F74="En retard",N(C74)+74/1000000000,"")</f>
        <v/>
      </c>
    </row>
    <row r="75" ht="16" customHeight="1">
      <c r="A75" s="14" t="n"/>
      <c r="B75" s="14" t="n"/>
      <c r="C75" s="22" t="n"/>
      <c r="D75" s="17" t="n"/>
      <c r="E75" s="17" t="n"/>
      <c r="F75" s="32">
        <f>IF(AND(A75="",B75="",C75="",D75="",E75=""),"",IF(D75="","Échéance à saisir",IF(E75&lt;&gt;"",IF(E75&lt;=D75,"Payée","Payée en retard"),IF($C$5&lt;=D75,"À échoir","En retard"))))</f>
        <v/>
      </c>
      <c r="G75" s="31">
        <f>IF(OR(F75="",D75=""),"",IF(E75&lt;&gt;"",MAX(0,E75-D75),MAX(0,$C$5-D75)))</f>
        <v/>
      </c>
      <c r="H75" s="14" t="n"/>
      <c r="I75" s="17" t="n"/>
      <c r="J75" s="41">
        <f>IF(S75="","",IF(S75&gt;5,"Suite avec votre avocat",INDEX($F$5:$F$9,S75)))</f>
        <v/>
      </c>
      <c r="K75" s="20">
        <f>IF(S75="","",IF(S75&gt;5,"",D75+INDEX($G$5:$G$9,S75)))</f>
        <v/>
      </c>
      <c r="L75" s="54">
        <f>IF(S75="","",IF(S75&gt;5,"À décider",IF(K75&lt;=$C$5,"À faire","")))</f>
        <v/>
      </c>
      <c r="M75" s="55">
        <f>IF(F75="","",IF(N(G75)&lt;=0,0,N(C75)*$C$6*G75/365))</f>
        <v/>
      </c>
      <c r="N75" s="33">
        <f>IF(F75="","",IF(N(G75)&lt;=0,0,N($C$7)))</f>
        <v/>
      </c>
      <c r="O75" s="14" t="n"/>
      <c r="P75" s="9">
        <f>IF(OR(F75="À échoir",F75="En retard"),$C$5-D75,"")</f>
        <v/>
      </c>
      <c r="Q75" s="9">
        <f>IF(P75="","",(P75&gt;=$G$5)+(P75&gt;=$G$6)+(P75&gt;=$G$7)+(P75&gt;=$G$8)+(P75&gt;=$G$9))</f>
        <v/>
      </c>
      <c r="R75" s="9">
        <f>IF(H75="",0,IFERROR(MATCH(H75,$F$5:$F$9,0),0))</f>
        <v/>
      </c>
      <c r="S75" s="9">
        <f>IF(Q75="","",IF(R75&gt;=Q75,R75+1,Q75))</f>
        <v/>
      </c>
      <c r="T75" s="9">
        <f>IF(F75="En retard",N(C75)+75/1000000000,"")</f>
        <v/>
      </c>
    </row>
    <row r="76" ht="16" customHeight="1">
      <c r="A76" s="14" t="n"/>
      <c r="B76" s="14" t="n"/>
      <c r="C76" s="22" t="n"/>
      <c r="D76" s="17" t="n"/>
      <c r="E76" s="17" t="n"/>
      <c r="F76" s="32">
        <f>IF(AND(A76="",B76="",C76="",D76="",E76=""),"",IF(D76="","Échéance à saisir",IF(E76&lt;&gt;"",IF(E76&lt;=D76,"Payée","Payée en retard"),IF($C$5&lt;=D76,"À échoir","En retard"))))</f>
        <v/>
      </c>
      <c r="G76" s="31">
        <f>IF(OR(F76="",D76=""),"",IF(E76&lt;&gt;"",MAX(0,E76-D76),MAX(0,$C$5-D76)))</f>
        <v/>
      </c>
      <c r="H76" s="14" t="n"/>
      <c r="I76" s="17" t="n"/>
      <c r="J76" s="41">
        <f>IF(S76="","",IF(S76&gt;5,"Suite avec votre avocat",INDEX($F$5:$F$9,S76)))</f>
        <v/>
      </c>
      <c r="K76" s="20">
        <f>IF(S76="","",IF(S76&gt;5,"",D76+INDEX($G$5:$G$9,S76)))</f>
        <v/>
      </c>
      <c r="L76" s="54">
        <f>IF(S76="","",IF(S76&gt;5,"À décider",IF(K76&lt;=$C$5,"À faire","")))</f>
        <v/>
      </c>
      <c r="M76" s="55">
        <f>IF(F76="","",IF(N(G76)&lt;=0,0,N(C76)*$C$6*G76/365))</f>
        <v/>
      </c>
      <c r="N76" s="33">
        <f>IF(F76="","",IF(N(G76)&lt;=0,0,N($C$7)))</f>
        <v/>
      </c>
      <c r="O76" s="14" t="n"/>
      <c r="P76" s="9">
        <f>IF(OR(F76="À échoir",F76="En retard"),$C$5-D76,"")</f>
        <v/>
      </c>
      <c r="Q76" s="9">
        <f>IF(P76="","",(P76&gt;=$G$5)+(P76&gt;=$G$6)+(P76&gt;=$G$7)+(P76&gt;=$G$8)+(P76&gt;=$G$9))</f>
        <v/>
      </c>
      <c r="R76" s="9">
        <f>IF(H76="",0,IFERROR(MATCH(H76,$F$5:$F$9,0),0))</f>
        <v/>
      </c>
      <c r="S76" s="9">
        <f>IF(Q76="","",IF(R76&gt;=Q76,R76+1,Q76))</f>
        <v/>
      </c>
      <c r="T76" s="9">
        <f>IF(F76="En retard",N(C76)+76/1000000000,"")</f>
        <v/>
      </c>
    </row>
    <row r="77" ht="16" customHeight="1">
      <c r="A77" s="14" t="n"/>
      <c r="B77" s="14" t="n"/>
      <c r="C77" s="22" t="n"/>
      <c r="D77" s="17" t="n"/>
      <c r="E77" s="17" t="n"/>
      <c r="F77" s="32">
        <f>IF(AND(A77="",B77="",C77="",D77="",E77=""),"",IF(D77="","Échéance à saisir",IF(E77&lt;&gt;"",IF(E77&lt;=D77,"Payée","Payée en retard"),IF($C$5&lt;=D77,"À échoir","En retard"))))</f>
        <v/>
      </c>
      <c r="G77" s="31">
        <f>IF(OR(F77="",D77=""),"",IF(E77&lt;&gt;"",MAX(0,E77-D77),MAX(0,$C$5-D77)))</f>
        <v/>
      </c>
      <c r="H77" s="14" t="n"/>
      <c r="I77" s="17" t="n"/>
      <c r="J77" s="41">
        <f>IF(S77="","",IF(S77&gt;5,"Suite avec votre avocat",INDEX($F$5:$F$9,S77)))</f>
        <v/>
      </c>
      <c r="K77" s="20">
        <f>IF(S77="","",IF(S77&gt;5,"",D77+INDEX($G$5:$G$9,S77)))</f>
        <v/>
      </c>
      <c r="L77" s="54">
        <f>IF(S77="","",IF(S77&gt;5,"À décider",IF(K77&lt;=$C$5,"À faire","")))</f>
        <v/>
      </c>
      <c r="M77" s="55">
        <f>IF(F77="","",IF(N(G77)&lt;=0,0,N(C77)*$C$6*G77/365))</f>
        <v/>
      </c>
      <c r="N77" s="33">
        <f>IF(F77="","",IF(N(G77)&lt;=0,0,N($C$7)))</f>
        <v/>
      </c>
      <c r="O77" s="14" t="n"/>
      <c r="P77" s="9">
        <f>IF(OR(F77="À échoir",F77="En retard"),$C$5-D77,"")</f>
        <v/>
      </c>
      <c r="Q77" s="9">
        <f>IF(P77="","",(P77&gt;=$G$5)+(P77&gt;=$G$6)+(P77&gt;=$G$7)+(P77&gt;=$G$8)+(P77&gt;=$G$9))</f>
        <v/>
      </c>
      <c r="R77" s="9">
        <f>IF(H77="",0,IFERROR(MATCH(H77,$F$5:$F$9,0),0))</f>
        <v/>
      </c>
      <c r="S77" s="9">
        <f>IF(Q77="","",IF(R77&gt;=Q77,R77+1,Q77))</f>
        <v/>
      </c>
      <c r="T77" s="9">
        <f>IF(F77="En retard",N(C77)+77/1000000000,"")</f>
        <v/>
      </c>
    </row>
    <row r="78" ht="16" customHeight="1">
      <c r="A78" s="14" t="n"/>
      <c r="B78" s="14" t="n"/>
      <c r="C78" s="22" t="n"/>
      <c r="D78" s="17" t="n"/>
      <c r="E78" s="17" t="n"/>
      <c r="F78" s="32">
        <f>IF(AND(A78="",B78="",C78="",D78="",E78=""),"",IF(D78="","Échéance à saisir",IF(E78&lt;&gt;"",IF(E78&lt;=D78,"Payée","Payée en retard"),IF($C$5&lt;=D78,"À échoir","En retard"))))</f>
        <v/>
      </c>
      <c r="G78" s="31">
        <f>IF(OR(F78="",D78=""),"",IF(E78&lt;&gt;"",MAX(0,E78-D78),MAX(0,$C$5-D78)))</f>
        <v/>
      </c>
      <c r="H78" s="14" t="n"/>
      <c r="I78" s="17" t="n"/>
      <c r="J78" s="41">
        <f>IF(S78="","",IF(S78&gt;5,"Suite avec votre avocat",INDEX($F$5:$F$9,S78)))</f>
        <v/>
      </c>
      <c r="K78" s="20">
        <f>IF(S78="","",IF(S78&gt;5,"",D78+INDEX($G$5:$G$9,S78)))</f>
        <v/>
      </c>
      <c r="L78" s="54">
        <f>IF(S78="","",IF(S78&gt;5,"À décider",IF(K78&lt;=$C$5,"À faire","")))</f>
        <v/>
      </c>
      <c r="M78" s="55">
        <f>IF(F78="","",IF(N(G78)&lt;=0,0,N(C78)*$C$6*G78/365))</f>
        <v/>
      </c>
      <c r="N78" s="33">
        <f>IF(F78="","",IF(N(G78)&lt;=0,0,N($C$7)))</f>
        <v/>
      </c>
      <c r="O78" s="14" t="n"/>
      <c r="P78" s="9">
        <f>IF(OR(F78="À échoir",F78="En retard"),$C$5-D78,"")</f>
        <v/>
      </c>
      <c r="Q78" s="9">
        <f>IF(P78="","",(P78&gt;=$G$5)+(P78&gt;=$G$6)+(P78&gt;=$G$7)+(P78&gt;=$G$8)+(P78&gt;=$G$9))</f>
        <v/>
      </c>
      <c r="R78" s="9">
        <f>IF(H78="",0,IFERROR(MATCH(H78,$F$5:$F$9,0),0))</f>
        <v/>
      </c>
      <c r="S78" s="9">
        <f>IF(Q78="","",IF(R78&gt;=Q78,R78+1,Q78))</f>
        <v/>
      </c>
      <c r="T78" s="9">
        <f>IF(F78="En retard",N(C78)+78/1000000000,"")</f>
        <v/>
      </c>
    </row>
    <row r="79" ht="16" customHeight="1">
      <c r="A79" s="14" t="n"/>
      <c r="B79" s="14" t="n"/>
      <c r="C79" s="22" t="n"/>
      <c r="D79" s="17" t="n"/>
      <c r="E79" s="17" t="n"/>
      <c r="F79" s="32">
        <f>IF(AND(A79="",B79="",C79="",D79="",E79=""),"",IF(D79="","Échéance à saisir",IF(E79&lt;&gt;"",IF(E79&lt;=D79,"Payée","Payée en retard"),IF($C$5&lt;=D79,"À échoir","En retard"))))</f>
        <v/>
      </c>
      <c r="G79" s="31">
        <f>IF(OR(F79="",D79=""),"",IF(E79&lt;&gt;"",MAX(0,E79-D79),MAX(0,$C$5-D79)))</f>
        <v/>
      </c>
      <c r="H79" s="14" t="n"/>
      <c r="I79" s="17" t="n"/>
      <c r="J79" s="41">
        <f>IF(S79="","",IF(S79&gt;5,"Suite avec votre avocat",INDEX($F$5:$F$9,S79)))</f>
        <v/>
      </c>
      <c r="K79" s="20">
        <f>IF(S79="","",IF(S79&gt;5,"",D79+INDEX($G$5:$G$9,S79)))</f>
        <v/>
      </c>
      <c r="L79" s="54">
        <f>IF(S79="","",IF(S79&gt;5,"À décider",IF(K79&lt;=$C$5,"À faire","")))</f>
        <v/>
      </c>
      <c r="M79" s="55">
        <f>IF(F79="","",IF(N(G79)&lt;=0,0,N(C79)*$C$6*G79/365))</f>
        <v/>
      </c>
      <c r="N79" s="33">
        <f>IF(F79="","",IF(N(G79)&lt;=0,0,N($C$7)))</f>
        <v/>
      </c>
      <c r="O79" s="14" t="n"/>
      <c r="P79" s="9">
        <f>IF(OR(F79="À échoir",F79="En retard"),$C$5-D79,"")</f>
        <v/>
      </c>
      <c r="Q79" s="9">
        <f>IF(P79="","",(P79&gt;=$G$5)+(P79&gt;=$G$6)+(P79&gt;=$G$7)+(P79&gt;=$G$8)+(P79&gt;=$G$9))</f>
        <v/>
      </c>
      <c r="R79" s="9">
        <f>IF(H79="",0,IFERROR(MATCH(H79,$F$5:$F$9,0),0))</f>
        <v/>
      </c>
      <c r="S79" s="9">
        <f>IF(Q79="","",IF(R79&gt;=Q79,R79+1,Q79))</f>
        <v/>
      </c>
      <c r="T79" s="9">
        <f>IF(F79="En retard",N(C79)+79/1000000000,"")</f>
        <v/>
      </c>
    </row>
    <row r="80" ht="16" customHeight="1">
      <c r="A80" s="14" t="n"/>
      <c r="B80" s="14" t="n"/>
      <c r="C80" s="22" t="n"/>
      <c r="D80" s="17" t="n"/>
      <c r="E80" s="17" t="n"/>
      <c r="F80" s="32">
        <f>IF(AND(A80="",B80="",C80="",D80="",E80=""),"",IF(D80="","Échéance à saisir",IF(E80&lt;&gt;"",IF(E80&lt;=D80,"Payée","Payée en retard"),IF($C$5&lt;=D80,"À échoir","En retard"))))</f>
        <v/>
      </c>
      <c r="G80" s="31">
        <f>IF(OR(F80="",D80=""),"",IF(E80&lt;&gt;"",MAX(0,E80-D80),MAX(0,$C$5-D80)))</f>
        <v/>
      </c>
      <c r="H80" s="14" t="n"/>
      <c r="I80" s="17" t="n"/>
      <c r="J80" s="41">
        <f>IF(S80="","",IF(S80&gt;5,"Suite avec votre avocat",INDEX($F$5:$F$9,S80)))</f>
        <v/>
      </c>
      <c r="K80" s="20">
        <f>IF(S80="","",IF(S80&gt;5,"",D80+INDEX($G$5:$G$9,S80)))</f>
        <v/>
      </c>
      <c r="L80" s="54">
        <f>IF(S80="","",IF(S80&gt;5,"À décider",IF(K80&lt;=$C$5,"À faire","")))</f>
        <v/>
      </c>
      <c r="M80" s="55">
        <f>IF(F80="","",IF(N(G80)&lt;=0,0,N(C80)*$C$6*G80/365))</f>
        <v/>
      </c>
      <c r="N80" s="33">
        <f>IF(F80="","",IF(N(G80)&lt;=0,0,N($C$7)))</f>
        <v/>
      </c>
      <c r="O80" s="14" t="n"/>
      <c r="P80" s="9">
        <f>IF(OR(F80="À échoir",F80="En retard"),$C$5-D80,"")</f>
        <v/>
      </c>
      <c r="Q80" s="9">
        <f>IF(P80="","",(P80&gt;=$G$5)+(P80&gt;=$G$6)+(P80&gt;=$G$7)+(P80&gt;=$G$8)+(P80&gt;=$G$9))</f>
        <v/>
      </c>
      <c r="R80" s="9">
        <f>IF(H80="",0,IFERROR(MATCH(H80,$F$5:$F$9,0),0))</f>
        <v/>
      </c>
      <c r="S80" s="9">
        <f>IF(Q80="","",IF(R80&gt;=Q80,R80+1,Q80))</f>
        <v/>
      </c>
      <c r="T80" s="9">
        <f>IF(F80="En retard",N(C80)+80/1000000000,"")</f>
        <v/>
      </c>
    </row>
    <row r="81" ht="16" customHeight="1">
      <c r="A81" s="14" t="n"/>
      <c r="B81" s="14" t="n"/>
      <c r="C81" s="22" t="n"/>
      <c r="D81" s="17" t="n"/>
      <c r="E81" s="17" t="n"/>
      <c r="F81" s="32">
        <f>IF(AND(A81="",B81="",C81="",D81="",E81=""),"",IF(D81="","Échéance à saisir",IF(E81&lt;&gt;"",IF(E81&lt;=D81,"Payée","Payée en retard"),IF($C$5&lt;=D81,"À échoir","En retard"))))</f>
        <v/>
      </c>
      <c r="G81" s="31">
        <f>IF(OR(F81="",D81=""),"",IF(E81&lt;&gt;"",MAX(0,E81-D81),MAX(0,$C$5-D81)))</f>
        <v/>
      </c>
      <c r="H81" s="14" t="n"/>
      <c r="I81" s="17" t="n"/>
      <c r="J81" s="41">
        <f>IF(S81="","",IF(S81&gt;5,"Suite avec votre avocat",INDEX($F$5:$F$9,S81)))</f>
        <v/>
      </c>
      <c r="K81" s="20">
        <f>IF(S81="","",IF(S81&gt;5,"",D81+INDEX($G$5:$G$9,S81)))</f>
        <v/>
      </c>
      <c r="L81" s="54">
        <f>IF(S81="","",IF(S81&gt;5,"À décider",IF(K81&lt;=$C$5,"À faire","")))</f>
        <v/>
      </c>
      <c r="M81" s="55">
        <f>IF(F81="","",IF(N(G81)&lt;=0,0,N(C81)*$C$6*G81/365))</f>
        <v/>
      </c>
      <c r="N81" s="33">
        <f>IF(F81="","",IF(N(G81)&lt;=0,0,N($C$7)))</f>
        <v/>
      </c>
      <c r="O81" s="14" t="n"/>
      <c r="P81" s="9">
        <f>IF(OR(F81="À échoir",F81="En retard"),$C$5-D81,"")</f>
        <v/>
      </c>
      <c r="Q81" s="9">
        <f>IF(P81="","",(P81&gt;=$G$5)+(P81&gt;=$G$6)+(P81&gt;=$G$7)+(P81&gt;=$G$8)+(P81&gt;=$G$9))</f>
        <v/>
      </c>
      <c r="R81" s="9">
        <f>IF(H81="",0,IFERROR(MATCH(H81,$F$5:$F$9,0),0))</f>
        <v/>
      </c>
      <c r="S81" s="9">
        <f>IF(Q81="","",IF(R81&gt;=Q81,R81+1,Q81))</f>
        <v/>
      </c>
      <c r="T81" s="9">
        <f>IF(F81="En retard",N(C81)+81/1000000000,"")</f>
        <v/>
      </c>
    </row>
    <row r="82" ht="16" customHeight="1">
      <c r="A82" s="14" t="n"/>
      <c r="B82" s="14" t="n"/>
      <c r="C82" s="22" t="n"/>
      <c r="D82" s="17" t="n"/>
      <c r="E82" s="17" t="n"/>
      <c r="F82" s="32">
        <f>IF(AND(A82="",B82="",C82="",D82="",E82=""),"",IF(D82="","Échéance à saisir",IF(E82&lt;&gt;"",IF(E82&lt;=D82,"Payée","Payée en retard"),IF($C$5&lt;=D82,"À échoir","En retard"))))</f>
        <v/>
      </c>
      <c r="G82" s="31">
        <f>IF(OR(F82="",D82=""),"",IF(E82&lt;&gt;"",MAX(0,E82-D82),MAX(0,$C$5-D82)))</f>
        <v/>
      </c>
      <c r="H82" s="14" t="n"/>
      <c r="I82" s="17" t="n"/>
      <c r="J82" s="41">
        <f>IF(S82="","",IF(S82&gt;5,"Suite avec votre avocat",INDEX($F$5:$F$9,S82)))</f>
        <v/>
      </c>
      <c r="K82" s="20">
        <f>IF(S82="","",IF(S82&gt;5,"",D82+INDEX($G$5:$G$9,S82)))</f>
        <v/>
      </c>
      <c r="L82" s="54">
        <f>IF(S82="","",IF(S82&gt;5,"À décider",IF(K82&lt;=$C$5,"À faire","")))</f>
        <v/>
      </c>
      <c r="M82" s="55">
        <f>IF(F82="","",IF(N(G82)&lt;=0,0,N(C82)*$C$6*G82/365))</f>
        <v/>
      </c>
      <c r="N82" s="33">
        <f>IF(F82="","",IF(N(G82)&lt;=0,0,N($C$7)))</f>
        <v/>
      </c>
      <c r="O82" s="14" t="n"/>
      <c r="P82" s="9">
        <f>IF(OR(F82="À échoir",F82="En retard"),$C$5-D82,"")</f>
        <v/>
      </c>
      <c r="Q82" s="9">
        <f>IF(P82="","",(P82&gt;=$G$5)+(P82&gt;=$G$6)+(P82&gt;=$G$7)+(P82&gt;=$G$8)+(P82&gt;=$G$9))</f>
        <v/>
      </c>
      <c r="R82" s="9">
        <f>IF(H82="",0,IFERROR(MATCH(H82,$F$5:$F$9,0),0))</f>
        <v/>
      </c>
      <c r="S82" s="9">
        <f>IF(Q82="","",IF(R82&gt;=Q82,R82+1,Q82))</f>
        <v/>
      </c>
      <c r="T82" s="9">
        <f>IF(F82="En retard",N(C82)+82/1000000000,"")</f>
        <v/>
      </c>
    </row>
    <row r="83" ht="16" customHeight="1">
      <c r="A83" s="14" t="n"/>
      <c r="B83" s="14" t="n"/>
      <c r="C83" s="22" t="n"/>
      <c r="D83" s="17" t="n"/>
      <c r="E83" s="17" t="n"/>
      <c r="F83" s="32">
        <f>IF(AND(A83="",B83="",C83="",D83="",E83=""),"",IF(D83="","Échéance à saisir",IF(E83&lt;&gt;"",IF(E83&lt;=D83,"Payée","Payée en retard"),IF($C$5&lt;=D83,"À échoir","En retard"))))</f>
        <v/>
      </c>
      <c r="G83" s="31">
        <f>IF(OR(F83="",D83=""),"",IF(E83&lt;&gt;"",MAX(0,E83-D83),MAX(0,$C$5-D83)))</f>
        <v/>
      </c>
      <c r="H83" s="14" t="n"/>
      <c r="I83" s="17" t="n"/>
      <c r="J83" s="41">
        <f>IF(S83="","",IF(S83&gt;5,"Suite avec votre avocat",INDEX($F$5:$F$9,S83)))</f>
        <v/>
      </c>
      <c r="K83" s="20">
        <f>IF(S83="","",IF(S83&gt;5,"",D83+INDEX($G$5:$G$9,S83)))</f>
        <v/>
      </c>
      <c r="L83" s="54">
        <f>IF(S83="","",IF(S83&gt;5,"À décider",IF(K83&lt;=$C$5,"À faire","")))</f>
        <v/>
      </c>
      <c r="M83" s="55">
        <f>IF(F83="","",IF(N(G83)&lt;=0,0,N(C83)*$C$6*G83/365))</f>
        <v/>
      </c>
      <c r="N83" s="33">
        <f>IF(F83="","",IF(N(G83)&lt;=0,0,N($C$7)))</f>
        <v/>
      </c>
      <c r="O83" s="14" t="n"/>
      <c r="P83" s="9">
        <f>IF(OR(F83="À échoir",F83="En retard"),$C$5-D83,"")</f>
        <v/>
      </c>
      <c r="Q83" s="9">
        <f>IF(P83="","",(P83&gt;=$G$5)+(P83&gt;=$G$6)+(P83&gt;=$G$7)+(P83&gt;=$G$8)+(P83&gt;=$G$9))</f>
        <v/>
      </c>
      <c r="R83" s="9">
        <f>IF(H83="",0,IFERROR(MATCH(H83,$F$5:$F$9,0),0))</f>
        <v/>
      </c>
      <c r="S83" s="9">
        <f>IF(Q83="","",IF(R83&gt;=Q83,R83+1,Q83))</f>
        <v/>
      </c>
      <c r="T83" s="9">
        <f>IF(F83="En retard",N(C83)+83/1000000000,"")</f>
        <v/>
      </c>
    </row>
    <row r="84" ht="16" customHeight="1">
      <c r="A84" s="14" t="n"/>
      <c r="B84" s="14" t="n"/>
      <c r="C84" s="22" t="n"/>
      <c r="D84" s="17" t="n"/>
      <c r="E84" s="17" t="n"/>
      <c r="F84" s="32">
        <f>IF(AND(A84="",B84="",C84="",D84="",E84=""),"",IF(D84="","Échéance à saisir",IF(E84&lt;&gt;"",IF(E84&lt;=D84,"Payée","Payée en retard"),IF($C$5&lt;=D84,"À échoir","En retard"))))</f>
        <v/>
      </c>
      <c r="G84" s="31">
        <f>IF(OR(F84="",D84=""),"",IF(E84&lt;&gt;"",MAX(0,E84-D84),MAX(0,$C$5-D84)))</f>
        <v/>
      </c>
      <c r="H84" s="14" t="n"/>
      <c r="I84" s="17" t="n"/>
      <c r="J84" s="41">
        <f>IF(S84="","",IF(S84&gt;5,"Suite avec votre avocat",INDEX($F$5:$F$9,S84)))</f>
        <v/>
      </c>
      <c r="K84" s="20">
        <f>IF(S84="","",IF(S84&gt;5,"",D84+INDEX($G$5:$G$9,S84)))</f>
        <v/>
      </c>
      <c r="L84" s="54">
        <f>IF(S84="","",IF(S84&gt;5,"À décider",IF(K84&lt;=$C$5,"À faire","")))</f>
        <v/>
      </c>
      <c r="M84" s="55">
        <f>IF(F84="","",IF(N(G84)&lt;=0,0,N(C84)*$C$6*G84/365))</f>
        <v/>
      </c>
      <c r="N84" s="33">
        <f>IF(F84="","",IF(N(G84)&lt;=0,0,N($C$7)))</f>
        <v/>
      </c>
      <c r="O84" s="14" t="n"/>
      <c r="P84" s="9">
        <f>IF(OR(F84="À échoir",F84="En retard"),$C$5-D84,"")</f>
        <v/>
      </c>
      <c r="Q84" s="9">
        <f>IF(P84="","",(P84&gt;=$G$5)+(P84&gt;=$G$6)+(P84&gt;=$G$7)+(P84&gt;=$G$8)+(P84&gt;=$G$9))</f>
        <v/>
      </c>
      <c r="R84" s="9">
        <f>IF(H84="",0,IFERROR(MATCH(H84,$F$5:$F$9,0),0))</f>
        <v/>
      </c>
      <c r="S84" s="9">
        <f>IF(Q84="","",IF(R84&gt;=Q84,R84+1,Q84))</f>
        <v/>
      </c>
      <c r="T84" s="9">
        <f>IF(F84="En retard",N(C84)+84/1000000000,"")</f>
        <v/>
      </c>
    </row>
    <row r="85" ht="16" customHeight="1">
      <c r="A85" s="14" t="n"/>
      <c r="B85" s="14" t="n"/>
      <c r="C85" s="22" t="n"/>
      <c r="D85" s="17" t="n"/>
      <c r="E85" s="17" t="n"/>
      <c r="F85" s="32">
        <f>IF(AND(A85="",B85="",C85="",D85="",E85=""),"",IF(D85="","Échéance à saisir",IF(E85&lt;&gt;"",IF(E85&lt;=D85,"Payée","Payée en retard"),IF($C$5&lt;=D85,"À échoir","En retard"))))</f>
        <v/>
      </c>
      <c r="G85" s="31">
        <f>IF(OR(F85="",D85=""),"",IF(E85&lt;&gt;"",MAX(0,E85-D85),MAX(0,$C$5-D85)))</f>
        <v/>
      </c>
      <c r="H85" s="14" t="n"/>
      <c r="I85" s="17" t="n"/>
      <c r="J85" s="41">
        <f>IF(S85="","",IF(S85&gt;5,"Suite avec votre avocat",INDEX($F$5:$F$9,S85)))</f>
        <v/>
      </c>
      <c r="K85" s="20">
        <f>IF(S85="","",IF(S85&gt;5,"",D85+INDEX($G$5:$G$9,S85)))</f>
        <v/>
      </c>
      <c r="L85" s="54">
        <f>IF(S85="","",IF(S85&gt;5,"À décider",IF(K85&lt;=$C$5,"À faire","")))</f>
        <v/>
      </c>
      <c r="M85" s="55">
        <f>IF(F85="","",IF(N(G85)&lt;=0,0,N(C85)*$C$6*G85/365))</f>
        <v/>
      </c>
      <c r="N85" s="33">
        <f>IF(F85="","",IF(N(G85)&lt;=0,0,N($C$7)))</f>
        <v/>
      </c>
      <c r="O85" s="14" t="n"/>
      <c r="P85" s="9">
        <f>IF(OR(F85="À échoir",F85="En retard"),$C$5-D85,"")</f>
        <v/>
      </c>
      <c r="Q85" s="9">
        <f>IF(P85="","",(P85&gt;=$G$5)+(P85&gt;=$G$6)+(P85&gt;=$G$7)+(P85&gt;=$G$8)+(P85&gt;=$G$9))</f>
        <v/>
      </c>
      <c r="R85" s="9">
        <f>IF(H85="",0,IFERROR(MATCH(H85,$F$5:$F$9,0),0))</f>
        <v/>
      </c>
      <c r="S85" s="9">
        <f>IF(Q85="","",IF(R85&gt;=Q85,R85+1,Q85))</f>
        <v/>
      </c>
      <c r="T85" s="9">
        <f>IF(F85="En retard",N(C85)+85/1000000000,"")</f>
        <v/>
      </c>
    </row>
    <row r="86" ht="16" customHeight="1">
      <c r="A86" s="14" t="n"/>
      <c r="B86" s="14" t="n"/>
      <c r="C86" s="22" t="n"/>
      <c r="D86" s="17" t="n"/>
      <c r="E86" s="17" t="n"/>
      <c r="F86" s="32">
        <f>IF(AND(A86="",B86="",C86="",D86="",E86=""),"",IF(D86="","Échéance à saisir",IF(E86&lt;&gt;"",IF(E86&lt;=D86,"Payée","Payée en retard"),IF($C$5&lt;=D86,"À échoir","En retard"))))</f>
        <v/>
      </c>
      <c r="G86" s="31">
        <f>IF(OR(F86="",D86=""),"",IF(E86&lt;&gt;"",MAX(0,E86-D86),MAX(0,$C$5-D86)))</f>
        <v/>
      </c>
      <c r="H86" s="14" t="n"/>
      <c r="I86" s="17" t="n"/>
      <c r="J86" s="41">
        <f>IF(S86="","",IF(S86&gt;5,"Suite avec votre avocat",INDEX($F$5:$F$9,S86)))</f>
        <v/>
      </c>
      <c r="K86" s="20">
        <f>IF(S86="","",IF(S86&gt;5,"",D86+INDEX($G$5:$G$9,S86)))</f>
        <v/>
      </c>
      <c r="L86" s="54">
        <f>IF(S86="","",IF(S86&gt;5,"À décider",IF(K86&lt;=$C$5,"À faire","")))</f>
        <v/>
      </c>
      <c r="M86" s="55">
        <f>IF(F86="","",IF(N(G86)&lt;=0,0,N(C86)*$C$6*G86/365))</f>
        <v/>
      </c>
      <c r="N86" s="33">
        <f>IF(F86="","",IF(N(G86)&lt;=0,0,N($C$7)))</f>
        <v/>
      </c>
      <c r="O86" s="14" t="n"/>
      <c r="P86" s="9">
        <f>IF(OR(F86="À échoir",F86="En retard"),$C$5-D86,"")</f>
        <v/>
      </c>
      <c r="Q86" s="9">
        <f>IF(P86="","",(P86&gt;=$G$5)+(P86&gt;=$G$6)+(P86&gt;=$G$7)+(P86&gt;=$G$8)+(P86&gt;=$G$9))</f>
        <v/>
      </c>
      <c r="R86" s="9">
        <f>IF(H86="",0,IFERROR(MATCH(H86,$F$5:$F$9,0),0))</f>
        <v/>
      </c>
      <c r="S86" s="9">
        <f>IF(Q86="","",IF(R86&gt;=Q86,R86+1,Q86))</f>
        <v/>
      </c>
      <c r="T86" s="9">
        <f>IF(F86="En retard",N(C86)+86/1000000000,"")</f>
        <v/>
      </c>
    </row>
    <row r="87" ht="16" customHeight="1">
      <c r="A87" s="14" t="n"/>
      <c r="B87" s="14" t="n"/>
      <c r="C87" s="22" t="n"/>
      <c r="D87" s="17" t="n"/>
      <c r="E87" s="17" t="n"/>
      <c r="F87" s="32">
        <f>IF(AND(A87="",B87="",C87="",D87="",E87=""),"",IF(D87="","Échéance à saisir",IF(E87&lt;&gt;"",IF(E87&lt;=D87,"Payée","Payée en retard"),IF($C$5&lt;=D87,"À échoir","En retard"))))</f>
        <v/>
      </c>
      <c r="G87" s="31">
        <f>IF(OR(F87="",D87=""),"",IF(E87&lt;&gt;"",MAX(0,E87-D87),MAX(0,$C$5-D87)))</f>
        <v/>
      </c>
      <c r="H87" s="14" t="n"/>
      <c r="I87" s="17" t="n"/>
      <c r="J87" s="41">
        <f>IF(S87="","",IF(S87&gt;5,"Suite avec votre avocat",INDEX($F$5:$F$9,S87)))</f>
        <v/>
      </c>
      <c r="K87" s="20">
        <f>IF(S87="","",IF(S87&gt;5,"",D87+INDEX($G$5:$G$9,S87)))</f>
        <v/>
      </c>
      <c r="L87" s="54">
        <f>IF(S87="","",IF(S87&gt;5,"À décider",IF(K87&lt;=$C$5,"À faire","")))</f>
        <v/>
      </c>
      <c r="M87" s="55">
        <f>IF(F87="","",IF(N(G87)&lt;=0,0,N(C87)*$C$6*G87/365))</f>
        <v/>
      </c>
      <c r="N87" s="33">
        <f>IF(F87="","",IF(N(G87)&lt;=0,0,N($C$7)))</f>
        <v/>
      </c>
      <c r="O87" s="14" t="n"/>
      <c r="P87" s="9">
        <f>IF(OR(F87="À échoir",F87="En retard"),$C$5-D87,"")</f>
        <v/>
      </c>
      <c r="Q87" s="9">
        <f>IF(P87="","",(P87&gt;=$G$5)+(P87&gt;=$G$6)+(P87&gt;=$G$7)+(P87&gt;=$G$8)+(P87&gt;=$G$9))</f>
        <v/>
      </c>
      <c r="R87" s="9">
        <f>IF(H87="",0,IFERROR(MATCH(H87,$F$5:$F$9,0),0))</f>
        <v/>
      </c>
      <c r="S87" s="9">
        <f>IF(Q87="","",IF(R87&gt;=Q87,R87+1,Q87))</f>
        <v/>
      </c>
      <c r="T87" s="9">
        <f>IF(F87="En retard",N(C87)+87/1000000000,"")</f>
        <v/>
      </c>
    </row>
    <row r="88" ht="16" customHeight="1">
      <c r="A88" s="14" t="n"/>
      <c r="B88" s="14" t="n"/>
      <c r="C88" s="22" t="n"/>
      <c r="D88" s="17" t="n"/>
      <c r="E88" s="17" t="n"/>
      <c r="F88" s="32">
        <f>IF(AND(A88="",B88="",C88="",D88="",E88=""),"",IF(D88="","Échéance à saisir",IF(E88&lt;&gt;"",IF(E88&lt;=D88,"Payée","Payée en retard"),IF($C$5&lt;=D88,"À échoir","En retard"))))</f>
        <v/>
      </c>
      <c r="G88" s="31">
        <f>IF(OR(F88="",D88=""),"",IF(E88&lt;&gt;"",MAX(0,E88-D88),MAX(0,$C$5-D88)))</f>
        <v/>
      </c>
      <c r="H88" s="14" t="n"/>
      <c r="I88" s="17" t="n"/>
      <c r="J88" s="41">
        <f>IF(S88="","",IF(S88&gt;5,"Suite avec votre avocat",INDEX($F$5:$F$9,S88)))</f>
        <v/>
      </c>
      <c r="K88" s="20">
        <f>IF(S88="","",IF(S88&gt;5,"",D88+INDEX($G$5:$G$9,S88)))</f>
        <v/>
      </c>
      <c r="L88" s="54">
        <f>IF(S88="","",IF(S88&gt;5,"À décider",IF(K88&lt;=$C$5,"À faire","")))</f>
        <v/>
      </c>
      <c r="M88" s="55">
        <f>IF(F88="","",IF(N(G88)&lt;=0,0,N(C88)*$C$6*G88/365))</f>
        <v/>
      </c>
      <c r="N88" s="33">
        <f>IF(F88="","",IF(N(G88)&lt;=0,0,N($C$7)))</f>
        <v/>
      </c>
      <c r="O88" s="14" t="n"/>
      <c r="P88" s="9">
        <f>IF(OR(F88="À échoir",F88="En retard"),$C$5-D88,"")</f>
        <v/>
      </c>
      <c r="Q88" s="9">
        <f>IF(P88="","",(P88&gt;=$G$5)+(P88&gt;=$G$6)+(P88&gt;=$G$7)+(P88&gt;=$G$8)+(P88&gt;=$G$9))</f>
        <v/>
      </c>
      <c r="R88" s="9">
        <f>IF(H88="",0,IFERROR(MATCH(H88,$F$5:$F$9,0),0))</f>
        <v/>
      </c>
      <c r="S88" s="9">
        <f>IF(Q88="","",IF(R88&gt;=Q88,R88+1,Q88))</f>
        <v/>
      </c>
      <c r="T88" s="9">
        <f>IF(F88="En retard",N(C88)+88/1000000000,"")</f>
        <v/>
      </c>
    </row>
    <row r="89" ht="16" customHeight="1">
      <c r="A89" s="14" t="n"/>
      <c r="B89" s="14" t="n"/>
      <c r="C89" s="22" t="n"/>
      <c r="D89" s="17" t="n"/>
      <c r="E89" s="17" t="n"/>
      <c r="F89" s="32">
        <f>IF(AND(A89="",B89="",C89="",D89="",E89=""),"",IF(D89="","Échéance à saisir",IF(E89&lt;&gt;"",IF(E89&lt;=D89,"Payée","Payée en retard"),IF($C$5&lt;=D89,"À échoir","En retard"))))</f>
        <v/>
      </c>
      <c r="G89" s="31">
        <f>IF(OR(F89="",D89=""),"",IF(E89&lt;&gt;"",MAX(0,E89-D89),MAX(0,$C$5-D89)))</f>
        <v/>
      </c>
      <c r="H89" s="14" t="n"/>
      <c r="I89" s="17" t="n"/>
      <c r="J89" s="41">
        <f>IF(S89="","",IF(S89&gt;5,"Suite avec votre avocat",INDEX($F$5:$F$9,S89)))</f>
        <v/>
      </c>
      <c r="K89" s="20">
        <f>IF(S89="","",IF(S89&gt;5,"",D89+INDEX($G$5:$G$9,S89)))</f>
        <v/>
      </c>
      <c r="L89" s="54">
        <f>IF(S89="","",IF(S89&gt;5,"À décider",IF(K89&lt;=$C$5,"À faire","")))</f>
        <v/>
      </c>
      <c r="M89" s="55">
        <f>IF(F89="","",IF(N(G89)&lt;=0,0,N(C89)*$C$6*G89/365))</f>
        <v/>
      </c>
      <c r="N89" s="33">
        <f>IF(F89="","",IF(N(G89)&lt;=0,0,N($C$7)))</f>
        <v/>
      </c>
      <c r="O89" s="14" t="n"/>
      <c r="P89" s="9">
        <f>IF(OR(F89="À échoir",F89="En retard"),$C$5-D89,"")</f>
        <v/>
      </c>
      <c r="Q89" s="9">
        <f>IF(P89="","",(P89&gt;=$G$5)+(P89&gt;=$G$6)+(P89&gt;=$G$7)+(P89&gt;=$G$8)+(P89&gt;=$G$9))</f>
        <v/>
      </c>
      <c r="R89" s="9">
        <f>IF(H89="",0,IFERROR(MATCH(H89,$F$5:$F$9,0),0))</f>
        <v/>
      </c>
      <c r="S89" s="9">
        <f>IF(Q89="","",IF(R89&gt;=Q89,R89+1,Q89))</f>
        <v/>
      </c>
      <c r="T89" s="9">
        <f>IF(F89="En retard",N(C89)+89/1000000000,"")</f>
        <v/>
      </c>
    </row>
    <row r="90" ht="16" customHeight="1">
      <c r="A90" s="14" t="n"/>
      <c r="B90" s="14" t="n"/>
      <c r="C90" s="22" t="n"/>
      <c r="D90" s="17" t="n"/>
      <c r="E90" s="17" t="n"/>
      <c r="F90" s="32">
        <f>IF(AND(A90="",B90="",C90="",D90="",E90=""),"",IF(D90="","Échéance à saisir",IF(E90&lt;&gt;"",IF(E90&lt;=D90,"Payée","Payée en retard"),IF($C$5&lt;=D90,"À échoir","En retard"))))</f>
        <v/>
      </c>
      <c r="G90" s="31">
        <f>IF(OR(F90="",D90=""),"",IF(E90&lt;&gt;"",MAX(0,E90-D90),MAX(0,$C$5-D90)))</f>
        <v/>
      </c>
      <c r="H90" s="14" t="n"/>
      <c r="I90" s="17" t="n"/>
      <c r="J90" s="41">
        <f>IF(S90="","",IF(S90&gt;5,"Suite avec votre avocat",INDEX($F$5:$F$9,S90)))</f>
        <v/>
      </c>
      <c r="K90" s="20">
        <f>IF(S90="","",IF(S90&gt;5,"",D90+INDEX($G$5:$G$9,S90)))</f>
        <v/>
      </c>
      <c r="L90" s="54">
        <f>IF(S90="","",IF(S90&gt;5,"À décider",IF(K90&lt;=$C$5,"À faire","")))</f>
        <v/>
      </c>
      <c r="M90" s="55">
        <f>IF(F90="","",IF(N(G90)&lt;=0,0,N(C90)*$C$6*G90/365))</f>
        <v/>
      </c>
      <c r="N90" s="33">
        <f>IF(F90="","",IF(N(G90)&lt;=0,0,N($C$7)))</f>
        <v/>
      </c>
      <c r="O90" s="14" t="n"/>
      <c r="P90" s="9">
        <f>IF(OR(F90="À échoir",F90="En retard"),$C$5-D90,"")</f>
        <v/>
      </c>
      <c r="Q90" s="9">
        <f>IF(P90="","",(P90&gt;=$G$5)+(P90&gt;=$G$6)+(P90&gt;=$G$7)+(P90&gt;=$G$8)+(P90&gt;=$G$9))</f>
        <v/>
      </c>
      <c r="R90" s="9">
        <f>IF(H90="",0,IFERROR(MATCH(H90,$F$5:$F$9,0),0))</f>
        <v/>
      </c>
      <c r="S90" s="9">
        <f>IF(Q90="","",IF(R90&gt;=Q90,R90+1,Q90))</f>
        <v/>
      </c>
      <c r="T90" s="9">
        <f>IF(F90="En retard",N(C90)+90/1000000000,"")</f>
        <v/>
      </c>
    </row>
    <row r="91" ht="16" customHeight="1">
      <c r="A91" s="14" t="n"/>
      <c r="B91" s="14" t="n"/>
      <c r="C91" s="22" t="n"/>
      <c r="D91" s="17" t="n"/>
      <c r="E91" s="17" t="n"/>
      <c r="F91" s="32">
        <f>IF(AND(A91="",B91="",C91="",D91="",E91=""),"",IF(D91="","Échéance à saisir",IF(E91&lt;&gt;"",IF(E91&lt;=D91,"Payée","Payée en retard"),IF($C$5&lt;=D91,"À échoir","En retard"))))</f>
        <v/>
      </c>
      <c r="G91" s="31">
        <f>IF(OR(F91="",D91=""),"",IF(E91&lt;&gt;"",MAX(0,E91-D91),MAX(0,$C$5-D91)))</f>
        <v/>
      </c>
      <c r="H91" s="14" t="n"/>
      <c r="I91" s="17" t="n"/>
      <c r="J91" s="41">
        <f>IF(S91="","",IF(S91&gt;5,"Suite avec votre avocat",INDEX($F$5:$F$9,S91)))</f>
        <v/>
      </c>
      <c r="K91" s="20">
        <f>IF(S91="","",IF(S91&gt;5,"",D91+INDEX($G$5:$G$9,S91)))</f>
        <v/>
      </c>
      <c r="L91" s="54">
        <f>IF(S91="","",IF(S91&gt;5,"À décider",IF(K91&lt;=$C$5,"À faire","")))</f>
        <v/>
      </c>
      <c r="M91" s="55">
        <f>IF(F91="","",IF(N(G91)&lt;=0,0,N(C91)*$C$6*G91/365))</f>
        <v/>
      </c>
      <c r="N91" s="33">
        <f>IF(F91="","",IF(N(G91)&lt;=0,0,N($C$7)))</f>
        <v/>
      </c>
      <c r="O91" s="14" t="n"/>
      <c r="P91" s="9">
        <f>IF(OR(F91="À échoir",F91="En retard"),$C$5-D91,"")</f>
        <v/>
      </c>
      <c r="Q91" s="9">
        <f>IF(P91="","",(P91&gt;=$G$5)+(P91&gt;=$G$6)+(P91&gt;=$G$7)+(P91&gt;=$G$8)+(P91&gt;=$G$9))</f>
        <v/>
      </c>
      <c r="R91" s="9">
        <f>IF(H91="",0,IFERROR(MATCH(H91,$F$5:$F$9,0),0))</f>
        <v/>
      </c>
      <c r="S91" s="9">
        <f>IF(Q91="","",IF(R91&gt;=Q91,R91+1,Q91))</f>
        <v/>
      </c>
      <c r="T91" s="9">
        <f>IF(F91="En retard",N(C91)+91/1000000000,"")</f>
        <v/>
      </c>
    </row>
    <row r="92" ht="16" customHeight="1">
      <c r="A92" s="14" t="n"/>
      <c r="B92" s="14" t="n"/>
      <c r="C92" s="22" t="n"/>
      <c r="D92" s="17" t="n"/>
      <c r="E92" s="17" t="n"/>
      <c r="F92" s="32">
        <f>IF(AND(A92="",B92="",C92="",D92="",E92=""),"",IF(D92="","Échéance à saisir",IF(E92&lt;&gt;"",IF(E92&lt;=D92,"Payée","Payée en retard"),IF($C$5&lt;=D92,"À échoir","En retard"))))</f>
        <v/>
      </c>
      <c r="G92" s="31">
        <f>IF(OR(F92="",D92=""),"",IF(E92&lt;&gt;"",MAX(0,E92-D92),MAX(0,$C$5-D92)))</f>
        <v/>
      </c>
      <c r="H92" s="14" t="n"/>
      <c r="I92" s="17" t="n"/>
      <c r="J92" s="41">
        <f>IF(S92="","",IF(S92&gt;5,"Suite avec votre avocat",INDEX($F$5:$F$9,S92)))</f>
        <v/>
      </c>
      <c r="K92" s="20">
        <f>IF(S92="","",IF(S92&gt;5,"",D92+INDEX($G$5:$G$9,S92)))</f>
        <v/>
      </c>
      <c r="L92" s="54">
        <f>IF(S92="","",IF(S92&gt;5,"À décider",IF(K92&lt;=$C$5,"À faire","")))</f>
        <v/>
      </c>
      <c r="M92" s="55">
        <f>IF(F92="","",IF(N(G92)&lt;=0,0,N(C92)*$C$6*G92/365))</f>
        <v/>
      </c>
      <c r="N92" s="33">
        <f>IF(F92="","",IF(N(G92)&lt;=0,0,N($C$7)))</f>
        <v/>
      </c>
      <c r="O92" s="14" t="n"/>
      <c r="P92" s="9">
        <f>IF(OR(F92="À échoir",F92="En retard"),$C$5-D92,"")</f>
        <v/>
      </c>
      <c r="Q92" s="9">
        <f>IF(P92="","",(P92&gt;=$G$5)+(P92&gt;=$G$6)+(P92&gt;=$G$7)+(P92&gt;=$G$8)+(P92&gt;=$G$9))</f>
        <v/>
      </c>
      <c r="R92" s="9">
        <f>IF(H92="",0,IFERROR(MATCH(H92,$F$5:$F$9,0),0))</f>
        <v/>
      </c>
      <c r="S92" s="9">
        <f>IF(Q92="","",IF(R92&gt;=Q92,R92+1,Q92))</f>
        <v/>
      </c>
      <c r="T92" s="9">
        <f>IF(F92="En retard",N(C92)+92/1000000000,"")</f>
        <v/>
      </c>
    </row>
    <row r="93" ht="16" customHeight="1">
      <c r="A93" s="14" t="n"/>
      <c r="B93" s="14" t="n"/>
      <c r="C93" s="22" t="n"/>
      <c r="D93" s="17" t="n"/>
      <c r="E93" s="17" t="n"/>
      <c r="F93" s="32">
        <f>IF(AND(A93="",B93="",C93="",D93="",E93=""),"",IF(D93="","Échéance à saisir",IF(E93&lt;&gt;"",IF(E93&lt;=D93,"Payée","Payée en retard"),IF($C$5&lt;=D93,"À échoir","En retard"))))</f>
        <v/>
      </c>
      <c r="G93" s="31">
        <f>IF(OR(F93="",D93=""),"",IF(E93&lt;&gt;"",MAX(0,E93-D93),MAX(0,$C$5-D93)))</f>
        <v/>
      </c>
      <c r="H93" s="14" t="n"/>
      <c r="I93" s="17" t="n"/>
      <c r="J93" s="41">
        <f>IF(S93="","",IF(S93&gt;5,"Suite avec votre avocat",INDEX($F$5:$F$9,S93)))</f>
        <v/>
      </c>
      <c r="K93" s="20">
        <f>IF(S93="","",IF(S93&gt;5,"",D93+INDEX($G$5:$G$9,S93)))</f>
        <v/>
      </c>
      <c r="L93" s="54">
        <f>IF(S93="","",IF(S93&gt;5,"À décider",IF(K93&lt;=$C$5,"À faire","")))</f>
        <v/>
      </c>
      <c r="M93" s="55">
        <f>IF(F93="","",IF(N(G93)&lt;=0,0,N(C93)*$C$6*G93/365))</f>
        <v/>
      </c>
      <c r="N93" s="33">
        <f>IF(F93="","",IF(N(G93)&lt;=0,0,N($C$7)))</f>
        <v/>
      </c>
      <c r="O93" s="14" t="n"/>
      <c r="P93" s="9">
        <f>IF(OR(F93="À échoir",F93="En retard"),$C$5-D93,"")</f>
        <v/>
      </c>
      <c r="Q93" s="9">
        <f>IF(P93="","",(P93&gt;=$G$5)+(P93&gt;=$G$6)+(P93&gt;=$G$7)+(P93&gt;=$G$8)+(P93&gt;=$G$9))</f>
        <v/>
      </c>
      <c r="R93" s="9">
        <f>IF(H93="",0,IFERROR(MATCH(H93,$F$5:$F$9,0),0))</f>
        <v/>
      </c>
      <c r="S93" s="9">
        <f>IF(Q93="","",IF(R93&gt;=Q93,R93+1,Q93))</f>
        <v/>
      </c>
      <c r="T93" s="9">
        <f>IF(F93="En retard",N(C93)+93/1000000000,"")</f>
        <v/>
      </c>
    </row>
    <row r="94" ht="16" customHeight="1">
      <c r="A94" s="14" t="n"/>
      <c r="B94" s="14" t="n"/>
      <c r="C94" s="22" t="n"/>
      <c r="D94" s="17" t="n"/>
      <c r="E94" s="17" t="n"/>
      <c r="F94" s="32">
        <f>IF(AND(A94="",B94="",C94="",D94="",E94=""),"",IF(D94="","Échéance à saisir",IF(E94&lt;&gt;"",IF(E94&lt;=D94,"Payée","Payée en retard"),IF($C$5&lt;=D94,"À échoir","En retard"))))</f>
        <v/>
      </c>
      <c r="G94" s="31">
        <f>IF(OR(F94="",D94=""),"",IF(E94&lt;&gt;"",MAX(0,E94-D94),MAX(0,$C$5-D94)))</f>
        <v/>
      </c>
      <c r="H94" s="14" t="n"/>
      <c r="I94" s="17" t="n"/>
      <c r="J94" s="41">
        <f>IF(S94="","",IF(S94&gt;5,"Suite avec votre avocat",INDEX($F$5:$F$9,S94)))</f>
        <v/>
      </c>
      <c r="K94" s="20">
        <f>IF(S94="","",IF(S94&gt;5,"",D94+INDEX($G$5:$G$9,S94)))</f>
        <v/>
      </c>
      <c r="L94" s="54">
        <f>IF(S94="","",IF(S94&gt;5,"À décider",IF(K94&lt;=$C$5,"À faire","")))</f>
        <v/>
      </c>
      <c r="M94" s="55">
        <f>IF(F94="","",IF(N(G94)&lt;=0,0,N(C94)*$C$6*G94/365))</f>
        <v/>
      </c>
      <c r="N94" s="33">
        <f>IF(F94="","",IF(N(G94)&lt;=0,0,N($C$7)))</f>
        <v/>
      </c>
      <c r="O94" s="14" t="n"/>
      <c r="P94" s="9">
        <f>IF(OR(F94="À échoir",F94="En retard"),$C$5-D94,"")</f>
        <v/>
      </c>
      <c r="Q94" s="9">
        <f>IF(P94="","",(P94&gt;=$G$5)+(P94&gt;=$G$6)+(P94&gt;=$G$7)+(P94&gt;=$G$8)+(P94&gt;=$G$9))</f>
        <v/>
      </c>
      <c r="R94" s="9">
        <f>IF(H94="",0,IFERROR(MATCH(H94,$F$5:$F$9,0),0))</f>
        <v/>
      </c>
      <c r="S94" s="9">
        <f>IF(Q94="","",IF(R94&gt;=Q94,R94+1,Q94))</f>
        <v/>
      </c>
      <c r="T94" s="9">
        <f>IF(F94="En retard",N(C94)+94/1000000000,"")</f>
        <v/>
      </c>
    </row>
    <row r="95" ht="16" customHeight="1">
      <c r="A95" s="14" t="n"/>
      <c r="B95" s="14" t="n"/>
      <c r="C95" s="22" t="n"/>
      <c r="D95" s="17" t="n"/>
      <c r="E95" s="17" t="n"/>
      <c r="F95" s="32">
        <f>IF(AND(A95="",B95="",C95="",D95="",E95=""),"",IF(D95="","Échéance à saisir",IF(E95&lt;&gt;"",IF(E95&lt;=D95,"Payée","Payée en retard"),IF($C$5&lt;=D95,"À échoir","En retard"))))</f>
        <v/>
      </c>
      <c r="G95" s="31">
        <f>IF(OR(F95="",D95=""),"",IF(E95&lt;&gt;"",MAX(0,E95-D95),MAX(0,$C$5-D95)))</f>
        <v/>
      </c>
      <c r="H95" s="14" t="n"/>
      <c r="I95" s="17" t="n"/>
      <c r="J95" s="41">
        <f>IF(S95="","",IF(S95&gt;5,"Suite avec votre avocat",INDEX($F$5:$F$9,S95)))</f>
        <v/>
      </c>
      <c r="K95" s="20">
        <f>IF(S95="","",IF(S95&gt;5,"",D95+INDEX($G$5:$G$9,S95)))</f>
        <v/>
      </c>
      <c r="L95" s="54">
        <f>IF(S95="","",IF(S95&gt;5,"À décider",IF(K95&lt;=$C$5,"À faire","")))</f>
        <v/>
      </c>
      <c r="M95" s="55">
        <f>IF(F95="","",IF(N(G95)&lt;=0,0,N(C95)*$C$6*G95/365))</f>
        <v/>
      </c>
      <c r="N95" s="33">
        <f>IF(F95="","",IF(N(G95)&lt;=0,0,N($C$7)))</f>
        <v/>
      </c>
      <c r="O95" s="14" t="n"/>
      <c r="P95" s="9">
        <f>IF(OR(F95="À échoir",F95="En retard"),$C$5-D95,"")</f>
        <v/>
      </c>
      <c r="Q95" s="9">
        <f>IF(P95="","",(P95&gt;=$G$5)+(P95&gt;=$G$6)+(P95&gt;=$G$7)+(P95&gt;=$G$8)+(P95&gt;=$G$9))</f>
        <v/>
      </c>
      <c r="R95" s="9">
        <f>IF(H95="",0,IFERROR(MATCH(H95,$F$5:$F$9,0),0))</f>
        <v/>
      </c>
      <c r="S95" s="9">
        <f>IF(Q95="","",IF(R95&gt;=Q95,R95+1,Q95))</f>
        <v/>
      </c>
      <c r="T95" s="9">
        <f>IF(F95="En retard",N(C95)+95/1000000000,"")</f>
        <v/>
      </c>
    </row>
    <row r="96" ht="16" customHeight="1">
      <c r="A96" s="14" t="n"/>
      <c r="B96" s="14" t="n"/>
      <c r="C96" s="22" t="n"/>
      <c r="D96" s="17" t="n"/>
      <c r="E96" s="17" t="n"/>
      <c r="F96" s="32">
        <f>IF(AND(A96="",B96="",C96="",D96="",E96=""),"",IF(D96="","Échéance à saisir",IF(E96&lt;&gt;"",IF(E96&lt;=D96,"Payée","Payée en retard"),IF($C$5&lt;=D96,"À échoir","En retard"))))</f>
        <v/>
      </c>
      <c r="G96" s="31">
        <f>IF(OR(F96="",D96=""),"",IF(E96&lt;&gt;"",MAX(0,E96-D96),MAX(0,$C$5-D96)))</f>
        <v/>
      </c>
      <c r="H96" s="14" t="n"/>
      <c r="I96" s="17" t="n"/>
      <c r="J96" s="41">
        <f>IF(S96="","",IF(S96&gt;5,"Suite avec votre avocat",INDEX($F$5:$F$9,S96)))</f>
        <v/>
      </c>
      <c r="K96" s="20">
        <f>IF(S96="","",IF(S96&gt;5,"",D96+INDEX($G$5:$G$9,S96)))</f>
        <v/>
      </c>
      <c r="L96" s="54">
        <f>IF(S96="","",IF(S96&gt;5,"À décider",IF(K96&lt;=$C$5,"À faire","")))</f>
        <v/>
      </c>
      <c r="M96" s="55">
        <f>IF(F96="","",IF(N(G96)&lt;=0,0,N(C96)*$C$6*G96/365))</f>
        <v/>
      </c>
      <c r="N96" s="33">
        <f>IF(F96="","",IF(N(G96)&lt;=0,0,N($C$7)))</f>
        <v/>
      </c>
      <c r="O96" s="14" t="n"/>
      <c r="P96" s="9">
        <f>IF(OR(F96="À échoir",F96="En retard"),$C$5-D96,"")</f>
        <v/>
      </c>
      <c r="Q96" s="9">
        <f>IF(P96="","",(P96&gt;=$G$5)+(P96&gt;=$G$6)+(P96&gt;=$G$7)+(P96&gt;=$G$8)+(P96&gt;=$G$9))</f>
        <v/>
      </c>
      <c r="R96" s="9">
        <f>IF(H96="",0,IFERROR(MATCH(H96,$F$5:$F$9,0),0))</f>
        <v/>
      </c>
      <c r="S96" s="9">
        <f>IF(Q96="","",IF(R96&gt;=Q96,R96+1,Q96))</f>
        <v/>
      </c>
      <c r="T96" s="9">
        <f>IF(F96="En retard",N(C96)+96/1000000000,"")</f>
        <v/>
      </c>
    </row>
    <row r="97" ht="16" customHeight="1">
      <c r="A97" s="14" t="n"/>
      <c r="B97" s="14" t="n"/>
      <c r="C97" s="22" t="n"/>
      <c r="D97" s="17" t="n"/>
      <c r="E97" s="17" t="n"/>
      <c r="F97" s="32">
        <f>IF(AND(A97="",B97="",C97="",D97="",E97=""),"",IF(D97="","Échéance à saisir",IF(E97&lt;&gt;"",IF(E97&lt;=D97,"Payée","Payée en retard"),IF($C$5&lt;=D97,"À échoir","En retard"))))</f>
        <v/>
      </c>
      <c r="G97" s="31">
        <f>IF(OR(F97="",D97=""),"",IF(E97&lt;&gt;"",MAX(0,E97-D97),MAX(0,$C$5-D97)))</f>
        <v/>
      </c>
      <c r="H97" s="14" t="n"/>
      <c r="I97" s="17" t="n"/>
      <c r="J97" s="41">
        <f>IF(S97="","",IF(S97&gt;5,"Suite avec votre avocat",INDEX($F$5:$F$9,S97)))</f>
        <v/>
      </c>
      <c r="K97" s="20">
        <f>IF(S97="","",IF(S97&gt;5,"",D97+INDEX($G$5:$G$9,S97)))</f>
        <v/>
      </c>
      <c r="L97" s="54">
        <f>IF(S97="","",IF(S97&gt;5,"À décider",IF(K97&lt;=$C$5,"À faire","")))</f>
        <v/>
      </c>
      <c r="M97" s="55">
        <f>IF(F97="","",IF(N(G97)&lt;=0,0,N(C97)*$C$6*G97/365))</f>
        <v/>
      </c>
      <c r="N97" s="33">
        <f>IF(F97="","",IF(N(G97)&lt;=0,0,N($C$7)))</f>
        <v/>
      </c>
      <c r="O97" s="14" t="n"/>
      <c r="P97" s="9">
        <f>IF(OR(F97="À échoir",F97="En retard"),$C$5-D97,"")</f>
        <v/>
      </c>
      <c r="Q97" s="9">
        <f>IF(P97="","",(P97&gt;=$G$5)+(P97&gt;=$G$6)+(P97&gt;=$G$7)+(P97&gt;=$G$8)+(P97&gt;=$G$9))</f>
        <v/>
      </c>
      <c r="R97" s="9">
        <f>IF(H97="",0,IFERROR(MATCH(H97,$F$5:$F$9,0),0))</f>
        <v/>
      </c>
      <c r="S97" s="9">
        <f>IF(Q97="","",IF(R97&gt;=Q97,R97+1,Q97))</f>
        <v/>
      </c>
      <c r="T97" s="9">
        <f>IF(F97="En retard",N(C97)+97/1000000000,"")</f>
        <v/>
      </c>
    </row>
    <row r="98" ht="16" customHeight="1">
      <c r="A98" s="14" t="n"/>
      <c r="B98" s="14" t="n"/>
      <c r="C98" s="22" t="n"/>
      <c r="D98" s="17" t="n"/>
      <c r="E98" s="17" t="n"/>
      <c r="F98" s="32">
        <f>IF(AND(A98="",B98="",C98="",D98="",E98=""),"",IF(D98="","Échéance à saisir",IF(E98&lt;&gt;"",IF(E98&lt;=D98,"Payée","Payée en retard"),IF($C$5&lt;=D98,"À échoir","En retard"))))</f>
        <v/>
      </c>
      <c r="G98" s="31">
        <f>IF(OR(F98="",D98=""),"",IF(E98&lt;&gt;"",MAX(0,E98-D98),MAX(0,$C$5-D98)))</f>
        <v/>
      </c>
      <c r="H98" s="14" t="n"/>
      <c r="I98" s="17" t="n"/>
      <c r="J98" s="41">
        <f>IF(S98="","",IF(S98&gt;5,"Suite avec votre avocat",INDEX($F$5:$F$9,S98)))</f>
        <v/>
      </c>
      <c r="K98" s="20">
        <f>IF(S98="","",IF(S98&gt;5,"",D98+INDEX($G$5:$G$9,S98)))</f>
        <v/>
      </c>
      <c r="L98" s="54">
        <f>IF(S98="","",IF(S98&gt;5,"À décider",IF(K98&lt;=$C$5,"À faire","")))</f>
        <v/>
      </c>
      <c r="M98" s="55">
        <f>IF(F98="","",IF(N(G98)&lt;=0,0,N(C98)*$C$6*G98/365))</f>
        <v/>
      </c>
      <c r="N98" s="33">
        <f>IF(F98="","",IF(N(G98)&lt;=0,0,N($C$7)))</f>
        <v/>
      </c>
      <c r="O98" s="14" t="n"/>
      <c r="P98" s="9">
        <f>IF(OR(F98="À échoir",F98="En retard"),$C$5-D98,"")</f>
        <v/>
      </c>
      <c r="Q98" s="9">
        <f>IF(P98="","",(P98&gt;=$G$5)+(P98&gt;=$G$6)+(P98&gt;=$G$7)+(P98&gt;=$G$8)+(P98&gt;=$G$9))</f>
        <v/>
      </c>
      <c r="R98" s="9">
        <f>IF(H98="",0,IFERROR(MATCH(H98,$F$5:$F$9,0),0))</f>
        <v/>
      </c>
      <c r="S98" s="9">
        <f>IF(Q98="","",IF(R98&gt;=Q98,R98+1,Q98))</f>
        <v/>
      </c>
      <c r="T98" s="9">
        <f>IF(F98="En retard",N(C98)+98/1000000000,"")</f>
        <v/>
      </c>
    </row>
    <row r="99" ht="16" customHeight="1">
      <c r="A99" s="14" t="n"/>
      <c r="B99" s="14" t="n"/>
      <c r="C99" s="22" t="n"/>
      <c r="D99" s="17" t="n"/>
      <c r="E99" s="17" t="n"/>
      <c r="F99" s="32">
        <f>IF(AND(A99="",B99="",C99="",D99="",E99=""),"",IF(D99="","Échéance à saisir",IF(E99&lt;&gt;"",IF(E99&lt;=D99,"Payée","Payée en retard"),IF($C$5&lt;=D99,"À échoir","En retard"))))</f>
        <v/>
      </c>
      <c r="G99" s="31">
        <f>IF(OR(F99="",D99=""),"",IF(E99&lt;&gt;"",MAX(0,E99-D99),MAX(0,$C$5-D99)))</f>
        <v/>
      </c>
      <c r="H99" s="14" t="n"/>
      <c r="I99" s="17" t="n"/>
      <c r="J99" s="41">
        <f>IF(S99="","",IF(S99&gt;5,"Suite avec votre avocat",INDEX($F$5:$F$9,S99)))</f>
        <v/>
      </c>
      <c r="K99" s="20">
        <f>IF(S99="","",IF(S99&gt;5,"",D99+INDEX($G$5:$G$9,S99)))</f>
        <v/>
      </c>
      <c r="L99" s="54">
        <f>IF(S99="","",IF(S99&gt;5,"À décider",IF(K99&lt;=$C$5,"À faire","")))</f>
        <v/>
      </c>
      <c r="M99" s="55">
        <f>IF(F99="","",IF(N(G99)&lt;=0,0,N(C99)*$C$6*G99/365))</f>
        <v/>
      </c>
      <c r="N99" s="33">
        <f>IF(F99="","",IF(N(G99)&lt;=0,0,N($C$7)))</f>
        <v/>
      </c>
      <c r="O99" s="14" t="n"/>
      <c r="P99" s="9">
        <f>IF(OR(F99="À échoir",F99="En retard"),$C$5-D99,"")</f>
        <v/>
      </c>
      <c r="Q99" s="9">
        <f>IF(P99="","",(P99&gt;=$G$5)+(P99&gt;=$G$6)+(P99&gt;=$G$7)+(P99&gt;=$G$8)+(P99&gt;=$G$9))</f>
        <v/>
      </c>
      <c r="R99" s="9">
        <f>IF(H99="",0,IFERROR(MATCH(H99,$F$5:$F$9,0),0))</f>
        <v/>
      </c>
      <c r="S99" s="9">
        <f>IF(Q99="","",IF(R99&gt;=Q99,R99+1,Q99))</f>
        <v/>
      </c>
      <c r="T99" s="9">
        <f>IF(F99="En retard",N(C99)+99/1000000000,"")</f>
        <v/>
      </c>
    </row>
    <row r="100" ht="16" customHeight="1">
      <c r="A100" s="14" t="n"/>
      <c r="B100" s="14" t="n"/>
      <c r="C100" s="22" t="n"/>
      <c r="D100" s="17" t="n"/>
      <c r="E100" s="17" t="n"/>
      <c r="F100" s="32">
        <f>IF(AND(A100="",B100="",C100="",D100="",E100=""),"",IF(D100="","Échéance à saisir",IF(E100&lt;&gt;"",IF(E100&lt;=D100,"Payée","Payée en retard"),IF($C$5&lt;=D100,"À échoir","En retard"))))</f>
        <v/>
      </c>
      <c r="G100" s="31">
        <f>IF(OR(F100="",D100=""),"",IF(E100&lt;&gt;"",MAX(0,E100-D100),MAX(0,$C$5-D100)))</f>
        <v/>
      </c>
      <c r="H100" s="14" t="n"/>
      <c r="I100" s="17" t="n"/>
      <c r="J100" s="41">
        <f>IF(S100="","",IF(S100&gt;5,"Suite avec votre avocat",INDEX($F$5:$F$9,S100)))</f>
        <v/>
      </c>
      <c r="K100" s="20">
        <f>IF(S100="","",IF(S100&gt;5,"",D100+INDEX($G$5:$G$9,S100)))</f>
        <v/>
      </c>
      <c r="L100" s="54">
        <f>IF(S100="","",IF(S100&gt;5,"À décider",IF(K100&lt;=$C$5,"À faire","")))</f>
        <v/>
      </c>
      <c r="M100" s="55">
        <f>IF(F100="","",IF(N(G100)&lt;=0,0,N(C100)*$C$6*G100/365))</f>
        <v/>
      </c>
      <c r="N100" s="33">
        <f>IF(F100="","",IF(N(G100)&lt;=0,0,N($C$7)))</f>
        <v/>
      </c>
      <c r="O100" s="14" t="n"/>
      <c r="P100" s="9">
        <f>IF(OR(F100="À échoir",F100="En retard"),$C$5-D100,"")</f>
        <v/>
      </c>
      <c r="Q100" s="9">
        <f>IF(P100="","",(P100&gt;=$G$5)+(P100&gt;=$G$6)+(P100&gt;=$G$7)+(P100&gt;=$G$8)+(P100&gt;=$G$9))</f>
        <v/>
      </c>
      <c r="R100" s="9">
        <f>IF(H100="",0,IFERROR(MATCH(H100,$F$5:$F$9,0),0))</f>
        <v/>
      </c>
      <c r="S100" s="9">
        <f>IF(Q100="","",IF(R100&gt;=Q100,R100+1,Q100))</f>
        <v/>
      </c>
      <c r="T100" s="9">
        <f>IF(F100="En retard",N(C100)+100/1000000000,"")</f>
        <v/>
      </c>
    </row>
    <row r="101" ht="16" customHeight="1">
      <c r="A101" s="14" t="n"/>
      <c r="B101" s="14" t="n"/>
      <c r="C101" s="22" t="n"/>
      <c r="D101" s="17" t="n"/>
      <c r="E101" s="17" t="n"/>
      <c r="F101" s="32">
        <f>IF(AND(A101="",B101="",C101="",D101="",E101=""),"",IF(D101="","Échéance à saisir",IF(E101&lt;&gt;"",IF(E101&lt;=D101,"Payée","Payée en retard"),IF($C$5&lt;=D101,"À échoir","En retard"))))</f>
        <v/>
      </c>
      <c r="G101" s="31">
        <f>IF(OR(F101="",D101=""),"",IF(E101&lt;&gt;"",MAX(0,E101-D101),MAX(0,$C$5-D101)))</f>
        <v/>
      </c>
      <c r="H101" s="14" t="n"/>
      <c r="I101" s="17" t="n"/>
      <c r="J101" s="41">
        <f>IF(S101="","",IF(S101&gt;5,"Suite avec votre avocat",INDEX($F$5:$F$9,S101)))</f>
        <v/>
      </c>
      <c r="K101" s="20">
        <f>IF(S101="","",IF(S101&gt;5,"",D101+INDEX($G$5:$G$9,S101)))</f>
        <v/>
      </c>
      <c r="L101" s="54">
        <f>IF(S101="","",IF(S101&gt;5,"À décider",IF(K101&lt;=$C$5,"À faire","")))</f>
        <v/>
      </c>
      <c r="M101" s="55">
        <f>IF(F101="","",IF(N(G101)&lt;=0,0,N(C101)*$C$6*G101/365))</f>
        <v/>
      </c>
      <c r="N101" s="33">
        <f>IF(F101="","",IF(N(G101)&lt;=0,0,N($C$7)))</f>
        <v/>
      </c>
      <c r="O101" s="14" t="n"/>
      <c r="P101" s="9">
        <f>IF(OR(F101="À échoir",F101="En retard"),$C$5-D101,"")</f>
        <v/>
      </c>
      <c r="Q101" s="9">
        <f>IF(P101="","",(P101&gt;=$G$5)+(P101&gt;=$G$6)+(P101&gt;=$G$7)+(P101&gt;=$G$8)+(P101&gt;=$G$9))</f>
        <v/>
      </c>
      <c r="R101" s="9">
        <f>IF(H101="",0,IFERROR(MATCH(H101,$F$5:$F$9,0),0))</f>
        <v/>
      </c>
      <c r="S101" s="9">
        <f>IF(Q101="","",IF(R101&gt;=Q101,R101+1,Q101))</f>
        <v/>
      </c>
      <c r="T101" s="9">
        <f>IF(F101="En retard",N(C101)+101/1000000000,"")</f>
        <v/>
      </c>
    </row>
    <row r="102" ht="16" customHeight="1">
      <c r="A102" s="14" t="n"/>
      <c r="B102" s="14" t="n"/>
      <c r="C102" s="22" t="n"/>
      <c r="D102" s="17" t="n"/>
      <c r="E102" s="17" t="n"/>
      <c r="F102" s="32">
        <f>IF(AND(A102="",B102="",C102="",D102="",E102=""),"",IF(D102="","Échéance à saisir",IF(E102&lt;&gt;"",IF(E102&lt;=D102,"Payée","Payée en retard"),IF($C$5&lt;=D102,"À échoir","En retard"))))</f>
        <v/>
      </c>
      <c r="G102" s="31">
        <f>IF(OR(F102="",D102=""),"",IF(E102&lt;&gt;"",MAX(0,E102-D102),MAX(0,$C$5-D102)))</f>
        <v/>
      </c>
      <c r="H102" s="14" t="n"/>
      <c r="I102" s="17" t="n"/>
      <c r="J102" s="41">
        <f>IF(S102="","",IF(S102&gt;5,"Suite avec votre avocat",INDEX($F$5:$F$9,S102)))</f>
        <v/>
      </c>
      <c r="K102" s="20">
        <f>IF(S102="","",IF(S102&gt;5,"",D102+INDEX($G$5:$G$9,S102)))</f>
        <v/>
      </c>
      <c r="L102" s="54">
        <f>IF(S102="","",IF(S102&gt;5,"À décider",IF(K102&lt;=$C$5,"À faire","")))</f>
        <v/>
      </c>
      <c r="M102" s="55">
        <f>IF(F102="","",IF(N(G102)&lt;=0,0,N(C102)*$C$6*G102/365))</f>
        <v/>
      </c>
      <c r="N102" s="33">
        <f>IF(F102="","",IF(N(G102)&lt;=0,0,N($C$7)))</f>
        <v/>
      </c>
      <c r="O102" s="14" t="n"/>
      <c r="P102" s="9">
        <f>IF(OR(F102="À échoir",F102="En retard"),$C$5-D102,"")</f>
        <v/>
      </c>
      <c r="Q102" s="9">
        <f>IF(P102="","",(P102&gt;=$G$5)+(P102&gt;=$G$6)+(P102&gt;=$G$7)+(P102&gt;=$G$8)+(P102&gt;=$G$9))</f>
        <v/>
      </c>
      <c r="R102" s="9">
        <f>IF(H102="",0,IFERROR(MATCH(H102,$F$5:$F$9,0),0))</f>
        <v/>
      </c>
      <c r="S102" s="9">
        <f>IF(Q102="","",IF(R102&gt;=Q102,R102+1,Q102))</f>
        <v/>
      </c>
      <c r="T102" s="9">
        <f>IF(F102="En retard",N(C102)+102/1000000000,"")</f>
        <v/>
      </c>
    </row>
    <row r="103" ht="16" customHeight="1">
      <c r="A103" s="14" t="n"/>
      <c r="B103" s="14" t="n"/>
      <c r="C103" s="22" t="n"/>
      <c r="D103" s="17" t="n"/>
      <c r="E103" s="17" t="n"/>
      <c r="F103" s="32">
        <f>IF(AND(A103="",B103="",C103="",D103="",E103=""),"",IF(D103="","Échéance à saisir",IF(E103&lt;&gt;"",IF(E103&lt;=D103,"Payée","Payée en retard"),IF($C$5&lt;=D103,"À échoir","En retard"))))</f>
        <v/>
      </c>
      <c r="G103" s="31">
        <f>IF(OR(F103="",D103=""),"",IF(E103&lt;&gt;"",MAX(0,E103-D103),MAX(0,$C$5-D103)))</f>
        <v/>
      </c>
      <c r="H103" s="14" t="n"/>
      <c r="I103" s="17" t="n"/>
      <c r="J103" s="41">
        <f>IF(S103="","",IF(S103&gt;5,"Suite avec votre avocat",INDEX($F$5:$F$9,S103)))</f>
        <v/>
      </c>
      <c r="K103" s="20">
        <f>IF(S103="","",IF(S103&gt;5,"",D103+INDEX($G$5:$G$9,S103)))</f>
        <v/>
      </c>
      <c r="L103" s="54">
        <f>IF(S103="","",IF(S103&gt;5,"À décider",IF(K103&lt;=$C$5,"À faire","")))</f>
        <v/>
      </c>
      <c r="M103" s="55">
        <f>IF(F103="","",IF(N(G103)&lt;=0,0,N(C103)*$C$6*G103/365))</f>
        <v/>
      </c>
      <c r="N103" s="33">
        <f>IF(F103="","",IF(N(G103)&lt;=0,0,N($C$7)))</f>
        <v/>
      </c>
      <c r="O103" s="14" t="n"/>
      <c r="P103" s="9">
        <f>IF(OR(F103="À échoir",F103="En retard"),$C$5-D103,"")</f>
        <v/>
      </c>
      <c r="Q103" s="9">
        <f>IF(P103="","",(P103&gt;=$G$5)+(P103&gt;=$G$6)+(P103&gt;=$G$7)+(P103&gt;=$G$8)+(P103&gt;=$G$9))</f>
        <v/>
      </c>
      <c r="R103" s="9">
        <f>IF(H103="",0,IFERROR(MATCH(H103,$F$5:$F$9,0),0))</f>
        <v/>
      </c>
      <c r="S103" s="9">
        <f>IF(Q103="","",IF(R103&gt;=Q103,R103+1,Q103))</f>
        <v/>
      </c>
      <c r="T103" s="9">
        <f>IF(F103="En retard",N(C103)+103/1000000000,"")</f>
        <v/>
      </c>
    </row>
    <row r="104" ht="16" customHeight="1">
      <c r="A104" s="14" t="n"/>
      <c r="B104" s="14" t="n"/>
      <c r="C104" s="22" t="n"/>
      <c r="D104" s="17" t="n"/>
      <c r="E104" s="17" t="n"/>
      <c r="F104" s="32">
        <f>IF(AND(A104="",B104="",C104="",D104="",E104=""),"",IF(D104="","Échéance à saisir",IF(E104&lt;&gt;"",IF(E104&lt;=D104,"Payée","Payée en retard"),IF($C$5&lt;=D104,"À échoir","En retard"))))</f>
        <v/>
      </c>
      <c r="G104" s="31">
        <f>IF(OR(F104="",D104=""),"",IF(E104&lt;&gt;"",MAX(0,E104-D104),MAX(0,$C$5-D104)))</f>
        <v/>
      </c>
      <c r="H104" s="14" t="n"/>
      <c r="I104" s="17" t="n"/>
      <c r="J104" s="41">
        <f>IF(S104="","",IF(S104&gt;5,"Suite avec votre avocat",INDEX($F$5:$F$9,S104)))</f>
        <v/>
      </c>
      <c r="K104" s="20">
        <f>IF(S104="","",IF(S104&gt;5,"",D104+INDEX($G$5:$G$9,S104)))</f>
        <v/>
      </c>
      <c r="L104" s="54">
        <f>IF(S104="","",IF(S104&gt;5,"À décider",IF(K104&lt;=$C$5,"À faire","")))</f>
        <v/>
      </c>
      <c r="M104" s="55">
        <f>IF(F104="","",IF(N(G104)&lt;=0,0,N(C104)*$C$6*G104/365))</f>
        <v/>
      </c>
      <c r="N104" s="33">
        <f>IF(F104="","",IF(N(G104)&lt;=0,0,N($C$7)))</f>
        <v/>
      </c>
      <c r="O104" s="14" t="n"/>
      <c r="P104" s="9">
        <f>IF(OR(F104="À échoir",F104="En retard"),$C$5-D104,"")</f>
        <v/>
      </c>
      <c r="Q104" s="9">
        <f>IF(P104="","",(P104&gt;=$G$5)+(P104&gt;=$G$6)+(P104&gt;=$G$7)+(P104&gt;=$G$8)+(P104&gt;=$G$9))</f>
        <v/>
      </c>
      <c r="R104" s="9">
        <f>IF(H104="",0,IFERROR(MATCH(H104,$F$5:$F$9,0),0))</f>
        <v/>
      </c>
      <c r="S104" s="9">
        <f>IF(Q104="","",IF(R104&gt;=Q104,R104+1,Q104))</f>
        <v/>
      </c>
      <c r="T104" s="9">
        <f>IF(F104="En retard",N(C104)+104/1000000000,"")</f>
        <v/>
      </c>
    </row>
    <row r="105" ht="16" customHeight="1">
      <c r="A105" s="14" t="n"/>
      <c r="B105" s="14" t="n"/>
      <c r="C105" s="22" t="n"/>
      <c r="D105" s="17" t="n"/>
      <c r="E105" s="17" t="n"/>
      <c r="F105" s="32">
        <f>IF(AND(A105="",B105="",C105="",D105="",E105=""),"",IF(D105="","Échéance à saisir",IF(E105&lt;&gt;"",IF(E105&lt;=D105,"Payée","Payée en retard"),IF($C$5&lt;=D105,"À échoir","En retard"))))</f>
        <v/>
      </c>
      <c r="G105" s="31">
        <f>IF(OR(F105="",D105=""),"",IF(E105&lt;&gt;"",MAX(0,E105-D105),MAX(0,$C$5-D105)))</f>
        <v/>
      </c>
      <c r="H105" s="14" t="n"/>
      <c r="I105" s="17" t="n"/>
      <c r="J105" s="41">
        <f>IF(S105="","",IF(S105&gt;5,"Suite avec votre avocat",INDEX($F$5:$F$9,S105)))</f>
        <v/>
      </c>
      <c r="K105" s="20">
        <f>IF(S105="","",IF(S105&gt;5,"",D105+INDEX($G$5:$G$9,S105)))</f>
        <v/>
      </c>
      <c r="L105" s="54">
        <f>IF(S105="","",IF(S105&gt;5,"À décider",IF(K105&lt;=$C$5,"À faire","")))</f>
        <v/>
      </c>
      <c r="M105" s="55">
        <f>IF(F105="","",IF(N(G105)&lt;=0,0,N(C105)*$C$6*G105/365))</f>
        <v/>
      </c>
      <c r="N105" s="33">
        <f>IF(F105="","",IF(N(G105)&lt;=0,0,N($C$7)))</f>
        <v/>
      </c>
      <c r="O105" s="14" t="n"/>
      <c r="P105" s="9">
        <f>IF(OR(F105="À échoir",F105="En retard"),$C$5-D105,"")</f>
        <v/>
      </c>
      <c r="Q105" s="9">
        <f>IF(P105="","",(P105&gt;=$G$5)+(P105&gt;=$G$6)+(P105&gt;=$G$7)+(P105&gt;=$G$8)+(P105&gt;=$G$9))</f>
        <v/>
      </c>
      <c r="R105" s="9">
        <f>IF(H105="",0,IFERROR(MATCH(H105,$F$5:$F$9,0),0))</f>
        <v/>
      </c>
      <c r="S105" s="9">
        <f>IF(Q105="","",IF(R105&gt;=Q105,R105+1,Q105))</f>
        <v/>
      </c>
      <c r="T105" s="9">
        <f>IF(F105="En retard",N(C105)+105/1000000000,"")</f>
        <v/>
      </c>
    </row>
    <row r="106" ht="16" customHeight="1">
      <c r="A106" s="14" t="n"/>
      <c r="B106" s="14" t="n"/>
      <c r="C106" s="22" t="n"/>
      <c r="D106" s="17" t="n"/>
      <c r="E106" s="17" t="n"/>
      <c r="F106" s="32">
        <f>IF(AND(A106="",B106="",C106="",D106="",E106=""),"",IF(D106="","Échéance à saisir",IF(E106&lt;&gt;"",IF(E106&lt;=D106,"Payée","Payée en retard"),IF($C$5&lt;=D106,"À échoir","En retard"))))</f>
        <v/>
      </c>
      <c r="G106" s="31">
        <f>IF(OR(F106="",D106=""),"",IF(E106&lt;&gt;"",MAX(0,E106-D106),MAX(0,$C$5-D106)))</f>
        <v/>
      </c>
      <c r="H106" s="14" t="n"/>
      <c r="I106" s="17" t="n"/>
      <c r="J106" s="41">
        <f>IF(S106="","",IF(S106&gt;5,"Suite avec votre avocat",INDEX($F$5:$F$9,S106)))</f>
        <v/>
      </c>
      <c r="K106" s="20">
        <f>IF(S106="","",IF(S106&gt;5,"",D106+INDEX($G$5:$G$9,S106)))</f>
        <v/>
      </c>
      <c r="L106" s="54">
        <f>IF(S106="","",IF(S106&gt;5,"À décider",IF(K106&lt;=$C$5,"À faire","")))</f>
        <v/>
      </c>
      <c r="M106" s="55">
        <f>IF(F106="","",IF(N(G106)&lt;=0,0,N(C106)*$C$6*G106/365))</f>
        <v/>
      </c>
      <c r="N106" s="33">
        <f>IF(F106="","",IF(N(G106)&lt;=0,0,N($C$7)))</f>
        <v/>
      </c>
      <c r="O106" s="14" t="n"/>
      <c r="P106" s="9">
        <f>IF(OR(F106="À échoir",F106="En retard"),$C$5-D106,"")</f>
        <v/>
      </c>
      <c r="Q106" s="9">
        <f>IF(P106="","",(P106&gt;=$G$5)+(P106&gt;=$G$6)+(P106&gt;=$G$7)+(P106&gt;=$G$8)+(P106&gt;=$G$9))</f>
        <v/>
      </c>
      <c r="R106" s="9">
        <f>IF(H106="",0,IFERROR(MATCH(H106,$F$5:$F$9,0),0))</f>
        <v/>
      </c>
      <c r="S106" s="9">
        <f>IF(Q106="","",IF(R106&gt;=Q106,R106+1,Q106))</f>
        <v/>
      </c>
      <c r="T106" s="9">
        <f>IF(F106="En retard",N(C106)+106/1000000000,"")</f>
        <v/>
      </c>
    </row>
    <row r="107" ht="16" customHeight="1">
      <c r="A107" s="14" t="n"/>
      <c r="B107" s="14" t="n"/>
      <c r="C107" s="22" t="n"/>
      <c r="D107" s="17" t="n"/>
      <c r="E107" s="17" t="n"/>
      <c r="F107" s="32">
        <f>IF(AND(A107="",B107="",C107="",D107="",E107=""),"",IF(D107="","Échéance à saisir",IF(E107&lt;&gt;"",IF(E107&lt;=D107,"Payée","Payée en retard"),IF($C$5&lt;=D107,"À échoir","En retard"))))</f>
        <v/>
      </c>
      <c r="G107" s="31">
        <f>IF(OR(F107="",D107=""),"",IF(E107&lt;&gt;"",MAX(0,E107-D107),MAX(0,$C$5-D107)))</f>
        <v/>
      </c>
      <c r="H107" s="14" t="n"/>
      <c r="I107" s="17" t="n"/>
      <c r="J107" s="41">
        <f>IF(S107="","",IF(S107&gt;5,"Suite avec votre avocat",INDEX($F$5:$F$9,S107)))</f>
        <v/>
      </c>
      <c r="K107" s="20">
        <f>IF(S107="","",IF(S107&gt;5,"",D107+INDEX($G$5:$G$9,S107)))</f>
        <v/>
      </c>
      <c r="L107" s="54">
        <f>IF(S107="","",IF(S107&gt;5,"À décider",IF(K107&lt;=$C$5,"À faire","")))</f>
        <v/>
      </c>
      <c r="M107" s="55">
        <f>IF(F107="","",IF(N(G107)&lt;=0,0,N(C107)*$C$6*G107/365))</f>
        <v/>
      </c>
      <c r="N107" s="33">
        <f>IF(F107="","",IF(N(G107)&lt;=0,0,N($C$7)))</f>
        <v/>
      </c>
      <c r="O107" s="14" t="n"/>
      <c r="P107" s="9">
        <f>IF(OR(F107="À échoir",F107="En retard"),$C$5-D107,"")</f>
        <v/>
      </c>
      <c r="Q107" s="9">
        <f>IF(P107="","",(P107&gt;=$G$5)+(P107&gt;=$G$6)+(P107&gt;=$G$7)+(P107&gt;=$G$8)+(P107&gt;=$G$9))</f>
        <v/>
      </c>
      <c r="R107" s="9">
        <f>IF(H107="",0,IFERROR(MATCH(H107,$F$5:$F$9,0),0))</f>
        <v/>
      </c>
      <c r="S107" s="9">
        <f>IF(Q107="","",IF(R107&gt;=Q107,R107+1,Q107))</f>
        <v/>
      </c>
      <c r="T107" s="9">
        <f>IF(F107="En retard",N(C107)+107/1000000000,"")</f>
        <v/>
      </c>
    </row>
    <row r="108" ht="16" customHeight="1">
      <c r="A108" s="14" t="n"/>
      <c r="B108" s="14" t="n"/>
      <c r="C108" s="22" t="n"/>
      <c r="D108" s="17" t="n"/>
      <c r="E108" s="17" t="n"/>
      <c r="F108" s="32">
        <f>IF(AND(A108="",B108="",C108="",D108="",E108=""),"",IF(D108="","Échéance à saisir",IF(E108&lt;&gt;"",IF(E108&lt;=D108,"Payée","Payée en retard"),IF($C$5&lt;=D108,"À échoir","En retard"))))</f>
        <v/>
      </c>
      <c r="G108" s="31">
        <f>IF(OR(F108="",D108=""),"",IF(E108&lt;&gt;"",MAX(0,E108-D108),MAX(0,$C$5-D108)))</f>
        <v/>
      </c>
      <c r="H108" s="14" t="n"/>
      <c r="I108" s="17" t="n"/>
      <c r="J108" s="41">
        <f>IF(S108="","",IF(S108&gt;5,"Suite avec votre avocat",INDEX($F$5:$F$9,S108)))</f>
        <v/>
      </c>
      <c r="K108" s="20">
        <f>IF(S108="","",IF(S108&gt;5,"",D108+INDEX($G$5:$G$9,S108)))</f>
        <v/>
      </c>
      <c r="L108" s="54">
        <f>IF(S108="","",IF(S108&gt;5,"À décider",IF(K108&lt;=$C$5,"À faire","")))</f>
        <v/>
      </c>
      <c r="M108" s="55">
        <f>IF(F108="","",IF(N(G108)&lt;=0,0,N(C108)*$C$6*G108/365))</f>
        <v/>
      </c>
      <c r="N108" s="33">
        <f>IF(F108="","",IF(N(G108)&lt;=0,0,N($C$7)))</f>
        <v/>
      </c>
      <c r="O108" s="14" t="n"/>
      <c r="P108" s="9">
        <f>IF(OR(F108="À échoir",F108="En retard"),$C$5-D108,"")</f>
        <v/>
      </c>
      <c r="Q108" s="9">
        <f>IF(P108="","",(P108&gt;=$G$5)+(P108&gt;=$G$6)+(P108&gt;=$G$7)+(P108&gt;=$G$8)+(P108&gt;=$G$9))</f>
        <v/>
      </c>
      <c r="R108" s="9">
        <f>IF(H108="",0,IFERROR(MATCH(H108,$F$5:$F$9,0),0))</f>
        <v/>
      </c>
      <c r="S108" s="9">
        <f>IF(Q108="","",IF(R108&gt;=Q108,R108+1,Q108))</f>
        <v/>
      </c>
      <c r="T108" s="9">
        <f>IF(F108="En retard",N(C108)+108/1000000000,"")</f>
        <v/>
      </c>
    </row>
    <row r="109" ht="16" customHeight="1">
      <c r="A109" s="14" t="n"/>
      <c r="B109" s="14" t="n"/>
      <c r="C109" s="22" t="n"/>
      <c r="D109" s="17" t="n"/>
      <c r="E109" s="17" t="n"/>
      <c r="F109" s="32">
        <f>IF(AND(A109="",B109="",C109="",D109="",E109=""),"",IF(D109="","Échéance à saisir",IF(E109&lt;&gt;"",IF(E109&lt;=D109,"Payée","Payée en retard"),IF($C$5&lt;=D109,"À échoir","En retard"))))</f>
        <v/>
      </c>
      <c r="G109" s="31">
        <f>IF(OR(F109="",D109=""),"",IF(E109&lt;&gt;"",MAX(0,E109-D109),MAX(0,$C$5-D109)))</f>
        <v/>
      </c>
      <c r="H109" s="14" t="n"/>
      <c r="I109" s="17" t="n"/>
      <c r="J109" s="41">
        <f>IF(S109="","",IF(S109&gt;5,"Suite avec votre avocat",INDEX($F$5:$F$9,S109)))</f>
        <v/>
      </c>
      <c r="K109" s="20">
        <f>IF(S109="","",IF(S109&gt;5,"",D109+INDEX($G$5:$G$9,S109)))</f>
        <v/>
      </c>
      <c r="L109" s="54">
        <f>IF(S109="","",IF(S109&gt;5,"À décider",IF(K109&lt;=$C$5,"À faire","")))</f>
        <v/>
      </c>
      <c r="M109" s="55">
        <f>IF(F109="","",IF(N(G109)&lt;=0,0,N(C109)*$C$6*G109/365))</f>
        <v/>
      </c>
      <c r="N109" s="33">
        <f>IF(F109="","",IF(N(G109)&lt;=0,0,N($C$7)))</f>
        <v/>
      </c>
      <c r="O109" s="14" t="n"/>
      <c r="P109" s="9">
        <f>IF(OR(F109="À échoir",F109="En retard"),$C$5-D109,"")</f>
        <v/>
      </c>
      <c r="Q109" s="9">
        <f>IF(P109="","",(P109&gt;=$G$5)+(P109&gt;=$G$6)+(P109&gt;=$G$7)+(P109&gt;=$G$8)+(P109&gt;=$G$9))</f>
        <v/>
      </c>
      <c r="R109" s="9">
        <f>IF(H109="",0,IFERROR(MATCH(H109,$F$5:$F$9,0),0))</f>
        <v/>
      </c>
      <c r="S109" s="9">
        <f>IF(Q109="","",IF(R109&gt;=Q109,R109+1,Q109))</f>
        <v/>
      </c>
      <c r="T109" s="9">
        <f>IF(F109="En retard",N(C109)+109/1000000000,"")</f>
        <v/>
      </c>
    </row>
    <row r="110" ht="16" customHeight="1">
      <c r="A110" s="14" t="n"/>
      <c r="B110" s="14" t="n"/>
      <c r="C110" s="22" t="n"/>
      <c r="D110" s="17" t="n"/>
      <c r="E110" s="17" t="n"/>
      <c r="F110" s="32">
        <f>IF(AND(A110="",B110="",C110="",D110="",E110=""),"",IF(D110="","Échéance à saisir",IF(E110&lt;&gt;"",IF(E110&lt;=D110,"Payée","Payée en retard"),IF($C$5&lt;=D110,"À échoir","En retard"))))</f>
        <v/>
      </c>
      <c r="G110" s="31">
        <f>IF(OR(F110="",D110=""),"",IF(E110&lt;&gt;"",MAX(0,E110-D110),MAX(0,$C$5-D110)))</f>
        <v/>
      </c>
      <c r="H110" s="14" t="n"/>
      <c r="I110" s="17" t="n"/>
      <c r="J110" s="41">
        <f>IF(S110="","",IF(S110&gt;5,"Suite avec votre avocat",INDEX($F$5:$F$9,S110)))</f>
        <v/>
      </c>
      <c r="K110" s="20">
        <f>IF(S110="","",IF(S110&gt;5,"",D110+INDEX($G$5:$G$9,S110)))</f>
        <v/>
      </c>
      <c r="L110" s="54">
        <f>IF(S110="","",IF(S110&gt;5,"À décider",IF(K110&lt;=$C$5,"À faire","")))</f>
        <v/>
      </c>
      <c r="M110" s="55">
        <f>IF(F110="","",IF(N(G110)&lt;=0,0,N(C110)*$C$6*G110/365))</f>
        <v/>
      </c>
      <c r="N110" s="33">
        <f>IF(F110="","",IF(N(G110)&lt;=0,0,N($C$7)))</f>
        <v/>
      </c>
      <c r="O110" s="14" t="n"/>
      <c r="P110" s="9">
        <f>IF(OR(F110="À échoir",F110="En retard"),$C$5-D110,"")</f>
        <v/>
      </c>
      <c r="Q110" s="9">
        <f>IF(P110="","",(P110&gt;=$G$5)+(P110&gt;=$G$6)+(P110&gt;=$G$7)+(P110&gt;=$G$8)+(P110&gt;=$G$9))</f>
        <v/>
      </c>
      <c r="R110" s="9">
        <f>IF(H110="",0,IFERROR(MATCH(H110,$F$5:$F$9,0),0))</f>
        <v/>
      </c>
      <c r="S110" s="9">
        <f>IF(Q110="","",IF(R110&gt;=Q110,R110+1,Q110))</f>
        <v/>
      </c>
      <c r="T110" s="9">
        <f>IF(F110="En retard",N(C110)+110/1000000000,"")</f>
        <v/>
      </c>
    </row>
    <row r="111" ht="16" customHeight="1">
      <c r="A111" s="14" t="n"/>
      <c r="B111" s="14" t="n"/>
      <c r="C111" s="22" t="n"/>
      <c r="D111" s="17" t="n"/>
      <c r="E111" s="17" t="n"/>
      <c r="F111" s="32">
        <f>IF(AND(A111="",B111="",C111="",D111="",E111=""),"",IF(D111="","Échéance à saisir",IF(E111&lt;&gt;"",IF(E111&lt;=D111,"Payée","Payée en retard"),IF($C$5&lt;=D111,"À échoir","En retard"))))</f>
        <v/>
      </c>
      <c r="G111" s="31">
        <f>IF(OR(F111="",D111=""),"",IF(E111&lt;&gt;"",MAX(0,E111-D111),MAX(0,$C$5-D111)))</f>
        <v/>
      </c>
      <c r="H111" s="14" t="n"/>
      <c r="I111" s="17" t="n"/>
      <c r="J111" s="41">
        <f>IF(S111="","",IF(S111&gt;5,"Suite avec votre avocat",INDEX($F$5:$F$9,S111)))</f>
        <v/>
      </c>
      <c r="K111" s="20">
        <f>IF(S111="","",IF(S111&gt;5,"",D111+INDEX($G$5:$G$9,S111)))</f>
        <v/>
      </c>
      <c r="L111" s="54">
        <f>IF(S111="","",IF(S111&gt;5,"À décider",IF(K111&lt;=$C$5,"À faire","")))</f>
        <v/>
      </c>
      <c r="M111" s="55">
        <f>IF(F111="","",IF(N(G111)&lt;=0,0,N(C111)*$C$6*G111/365))</f>
        <v/>
      </c>
      <c r="N111" s="33">
        <f>IF(F111="","",IF(N(G111)&lt;=0,0,N($C$7)))</f>
        <v/>
      </c>
      <c r="O111" s="14" t="n"/>
      <c r="P111" s="9">
        <f>IF(OR(F111="À échoir",F111="En retard"),$C$5-D111,"")</f>
        <v/>
      </c>
      <c r="Q111" s="9">
        <f>IF(P111="","",(P111&gt;=$G$5)+(P111&gt;=$G$6)+(P111&gt;=$G$7)+(P111&gt;=$G$8)+(P111&gt;=$G$9))</f>
        <v/>
      </c>
      <c r="R111" s="9">
        <f>IF(H111="",0,IFERROR(MATCH(H111,$F$5:$F$9,0),0))</f>
        <v/>
      </c>
      <c r="S111" s="9">
        <f>IF(Q111="","",IF(R111&gt;=Q111,R111+1,Q111))</f>
        <v/>
      </c>
      <c r="T111" s="9">
        <f>IF(F111="En retard",N(C111)+111/1000000000,"")</f>
        <v/>
      </c>
    </row>
    <row r="112" ht="16" customHeight="1">
      <c r="A112" s="14" t="n"/>
      <c r="B112" s="14" t="n"/>
      <c r="C112" s="22" t="n"/>
      <c r="D112" s="17" t="n"/>
      <c r="E112" s="17" t="n"/>
      <c r="F112" s="32">
        <f>IF(AND(A112="",B112="",C112="",D112="",E112=""),"",IF(D112="","Échéance à saisir",IF(E112&lt;&gt;"",IF(E112&lt;=D112,"Payée","Payée en retard"),IF($C$5&lt;=D112,"À échoir","En retard"))))</f>
        <v/>
      </c>
      <c r="G112" s="31">
        <f>IF(OR(F112="",D112=""),"",IF(E112&lt;&gt;"",MAX(0,E112-D112),MAX(0,$C$5-D112)))</f>
        <v/>
      </c>
      <c r="H112" s="14" t="n"/>
      <c r="I112" s="17" t="n"/>
      <c r="J112" s="41">
        <f>IF(S112="","",IF(S112&gt;5,"Suite avec votre avocat",INDEX($F$5:$F$9,S112)))</f>
        <v/>
      </c>
      <c r="K112" s="20">
        <f>IF(S112="","",IF(S112&gt;5,"",D112+INDEX($G$5:$G$9,S112)))</f>
        <v/>
      </c>
      <c r="L112" s="54">
        <f>IF(S112="","",IF(S112&gt;5,"À décider",IF(K112&lt;=$C$5,"À faire","")))</f>
        <v/>
      </c>
      <c r="M112" s="55">
        <f>IF(F112="","",IF(N(G112)&lt;=0,0,N(C112)*$C$6*G112/365))</f>
        <v/>
      </c>
      <c r="N112" s="33">
        <f>IF(F112="","",IF(N(G112)&lt;=0,0,N($C$7)))</f>
        <v/>
      </c>
      <c r="O112" s="14" t="n"/>
      <c r="P112" s="9">
        <f>IF(OR(F112="À échoir",F112="En retard"),$C$5-D112,"")</f>
        <v/>
      </c>
      <c r="Q112" s="9">
        <f>IF(P112="","",(P112&gt;=$G$5)+(P112&gt;=$G$6)+(P112&gt;=$G$7)+(P112&gt;=$G$8)+(P112&gt;=$G$9))</f>
        <v/>
      </c>
      <c r="R112" s="9">
        <f>IF(H112="",0,IFERROR(MATCH(H112,$F$5:$F$9,0),0))</f>
        <v/>
      </c>
      <c r="S112" s="9">
        <f>IF(Q112="","",IF(R112&gt;=Q112,R112+1,Q112))</f>
        <v/>
      </c>
      <c r="T112" s="9">
        <f>IF(F112="En retard",N(C112)+112/1000000000,"")</f>
        <v/>
      </c>
    </row>
    <row r="113" ht="16" customHeight="1">
      <c r="A113" s="14" t="n"/>
      <c r="B113" s="14" t="n"/>
      <c r="C113" s="22" t="n"/>
      <c r="D113" s="17" t="n"/>
      <c r="E113" s="17" t="n"/>
      <c r="F113" s="32">
        <f>IF(AND(A113="",B113="",C113="",D113="",E113=""),"",IF(D113="","Échéance à saisir",IF(E113&lt;&gt;"",IF(E113&lt;=D113,"Payée","Payée en retard"),IF($C$5&lt;=D113,"À échoir","En retard"))))</f>
        <v/>
      </c>
      <c r="G113" s="31">
        <f>IF(OR(F113="",D113=""),"",IF(E113&lt;&gt;"",MAX(0,E113-D113),MAX(0,$C$5-D113)))</f>
        <v/>
      </c>
      <c r="H113" s="14" t="n"/>
      <c r="I113" s="17" t="n"/>
      <c r="J113" s="41">
        <f>IF(S113="","",IF(S113&gt;5,"Suite avec votre avocat",INDEX($F$5:$F$9,S113)))</f>
        <v/>
      </c>
      <c r="K113" s="20">
        <f>IF(S113="","",IF(S113&gt;5,"",D113+INDEX($G$5:$G$9,S113)))</f>
        <v/>
      </c>
      <c r="L113" s="54">
        <f>IF(S113="","",IF(S113&gt;5,"À décider",IF(K113&lt;=$C$5,"À faire","")))</f>
        <v/>
      </c>
      <c r="M113" s="55">
        <f>IF(F113="","",IF(N(G113)&lt;=0,0,N(C113)*$C$6*G113/365))</f>
        <v/>
      </c>
      <c r="N113" s="33">
        <f>IF(F113="","",IF(N(G113)&lt;=0,0,N($C$7)))</f>
        <v/>
      </c>
      <c r="O113" s="14" t="n"/>
      <c r="P113" s="9">
        <f>IF(OR(F113="À échoir",F113="En retard"),$C$5-D113,"")</f>
        <v/>
      </c>
      <c r="Q113" s="9">
        <f>IF(P113="","",(P113&gt;=$G$5)+(P113&gt;=$G$6)+(P113&gt;=$G$7)+(P113&gt;=$G$8)+(P113&gt;=$G$9))</f>
        <v/>
      </c>
      <c r="R113" s="9">
        <f>IF(H113="",0,IFERROR(MATCH(H113,$F$5:$F$9,0),0))</f>
        <v/>
      </c>
      <c r="S113" s="9">
        <f>IF(Q113="","",IF(R113&gt;=Q113,R113+1,Q113))</f>
        <v/>
      </c>
      <c r="T113" s="9">
        <f>IF(F113="En retard",N(C113)+113/1000000000,"")</f>
        <v/>
      </c>
    </row>
    <row r="114" ht="16" customHeight="1">
      <c r="A114" s="14" t="n"/>
      <c r="B114" s="14" t="n"/>
      <c r="C114" s="22" t="n"/>
      <c r="D114" s="17" t="n"/>
      <c r="E114" s="17" t="n"/>
      <c r="F114" s="32">
        <f>IF(AND(A114="",B114="",C114="",D114="",E114=""),"",IF(D114="","Échéance à saisir",IF(E114&lt;&gt;"",IF(E114&lt;=D114,"Payée","Payée en retard"),IF($C$5&lt;=D114,"À échoir","En retard"))))</f>
        <v/>
      </c>
      <c r="G114" s="31">
        <f>IF(OR(F114="",D114=""),"",IF(E114&lt;&gt;"",MAX(0,E114-D114),MAX(0,$C$5-D114)))</f>
        <v/>
      </c>
      <c r="H114" s="14" t="n"/>
      <c r="I114" s="17" t="n"/>
      <c r="J114" s="41">
        <f>IF(S114="","",IF(S114&gt;5,"Suite avec votre avocat",INDEX($F$5:$F$9,S114)))</f>
        <v/>
      </c>
      <c r="K114" s="20">
        <f>IF(S114="","",IF(S114&gt;5,"",D114+INDEX($G$5:$G$9,S114)))</f>
        <v/>
      </c>
      <c r="L114" s="54">
        <f>IF(S114="","",IF(S114&gt;5,"À décider",IF(K114&lt;=$C$5,"À faire","")))</f>
        <v/>
      </c>
      <c r="M114" s="55">
        <f>IF(F114="","",IF(N(G114)&lt;=0,0,N(C114)*$C$6*G114/365))</f>
        <v/>
      </c>
      <c r="N114" s="33">
        <f>IF(F114="","",IF(N(G114)&lt;=0,0,N($C$7)))</f>
        <v/>
      </c>
      <c r="O114" s="14" t="n"/>
      <c r="P114" s="9">
        <f>IF(OR(F114="À échoir",F114="En retard"),$C$5-D114,"")</f>
        <v/>
      </c>
      <c r="Q114" s="9">
        <f>IF(P114="","",(P114&gt;=$G$5)+(P114&gt;=$G$6)+(P114&gt;=$G$7)+(P114&gt;=$G$8)+(P114&gt;=$G$9))</f>
        <v/>
      </c>
      <c r="R114" s="9">
        <f>IF(H114="",0,IFERROR(MATCH(H114,$F$5:$F$9,0),0))</f>
        <v/>
      </c>
      <c r="S114" s="9">
        <f>IF(Q114="","",IF(R114&gt;=Q114,R114+1,Q114))</f>
        <v/>
      </c>
      <c r="T114" s="9">
        <f>IF(F114="En retard",N(C114)+114/1000000000,"")</f>
        <v/>
      </c>
    </row>
    <row r="115" ht="16" customHeight="1">
      <c r="A115" s="14" t="n"/>
      <c r="B115" s="14" t="n"/>
      <c r="C115" s="22" t="n"/>
      <c r="D115" s="17" t="n"/>
      <c r="E115" s="17" t="n"/>
      <c r="F115" s="32">
        <f>IF(AND(A115="",B115="",C115="",D115="",E115=""),"",IF(D115="","Échéance à saisir",IF(E115&lt;&gt;"",IF(E115&lt;=D115,"Payée","Payée en retard"),IF($C$5&lt;=D115,"À échoir","En retard"))))</f>
        <v/>
      </c>
      <c r="G115" s="31">
        <f>IF(OR(F115="",D115=""),"",IF(E115&lt;&gt;"",MAX(0,E115-D115),MAX(0,$C$5-D115)))</f>
        <v/>
      </c>
      <c r="H115" s="14" t="n"/>
      <c r="I115" s="17" t="n"/>
      <c r="J115" s="41">
        <f>IF(S115="","",IF(S115&gt;5,"Suite avec votre avocat",INDEX($F$5:$F$9,S115)))</f>
        <v/>
      </c>
      <c r="K115" s="20">
        <f>IF(S115="","",IF(S115&gt;5,"",D115+INDEX($G$5:$G$9,S115)))</f>
        <v/>
      </c>
      <c r="L115" s="54">
        <f>IF(S115="","",IF(S115&gt;5,"À décider",IF(K115&lt;=$C$5,"À faire","")))</f>
        <v/>
      </c>
      <c r="M115" s="55">
        <f>IF(F115="","",IF(N(G115)&lt;=0,0,N(C115)*$C$6*G115/365))</f>
        <v/>
      </c>
      <c r="N115" s="33">
        <f>IF(F115="","",IF(N(G115)&lt;=0,0,N($C$7)))</f>
        <v/>
      </c>
      <c r="O115" s="14" t="n"/>
      <c r="P115" s="9">
        <f>IF(OR(F115="À échoir",F115="En retard"),$C$5-D115,"")</f>
        <v/>
      </c>
      <c r="Q115" s="9">
        <f>IF(P115="","",(P115&gt;=$G$5)+(P115&gt;=$G$6)+(P115&gt;=$G$7)+(P115&gt;=$G$8)+(P115&gt;=$G$9))</f>
        <v/>
      </c>
      <c r="R115" s="9">
        <f>IF(H115="",0,IFERROR(MATCH(H115,$F$5:$F$9,0),0))</f>
        <v/>
      </c>
      <c r="S115" s="9">
        <f>IF(Q115="","",IF(R115&gt;=Q115,R115+1,Q115))</f>
        <v/>
      </c>
      <c r="T115" s="9">
        <f>IF(F115="En retard",N(C115)+115/1000000000,"")</f>
        <v/>
      </c>
    </row>
    <row r="116" ht="16" customHeight="1">
      <c r="A116" s="14" t="n"/>
      <c r="B116" s="14" t="n"/>
      <c r="C116" s="22" t="n"/>
      <c r="D116" s="17" t="n"/>
      <c r="E116" s="17" t="n"/>
      <c r="F116" s="32">
        <f>IF(AND(A116="",B116="",C116="",D116="",E116=""),"",IF(D116="","Échéance à saisir",IF(E116&lt;&gt;"",IF(E116&lt;=D116,"Payée","Payée en retard"),IF($C$5&lt;=D116,"À échoir","En retard"))))</f>
        <v/>
      </c>
      <c r="G116" s="31">
        <f>IF(OR(F116="",D116=""),"",IF(E116&lt;&gt;"",MAX(0,E116-D116),MAX(0,$C$5-D116)))</f>
        <v/>
      </c>
      <c r="H116" s="14" t="n"/>
      <c r="I116" s="17" t="n"/>
      <c r="J116" s="41">
        <f>IF(S116="","",IF(S116&gt;5,"Suite avec votre avocat",INDEX($F$5:$F$9,S116)))</f>
        <v/>
      </c>
      <c r="K116" s="20">
        <f>IF(S116="","",IF(S116&gt;5,"",D116+INDEX($G$5:$G$9,S116)))</f>
        <v/>
      </c>
      <c r="L116" s="54">
        <f>IF(S116="","",IF(S116&gt;5,"À décider",IF(K116&lt;=$C$5,"À faire","")))</f>
        <v/>
      </c>
      <c r="M116" s="55">
        <f>IF(F116="","",IF(N(G116)&lt;=0,0,N(C116)*$C$6*G116/365))</f>
        <v/>
      </c>
      <c r="N116" s="33">
        <f>IF(F116="","",IF(N(G116)&lt;=0,0,N($C$7)))</f>
        <v/>
      </c>
      <c r="O116" s="14" t="n"/>
      <c r="P116" s="9">
        <f>IF(OR(F116="À échoir",F116="En retard"),$C$5-D116,"")</f>
        <v/>
      </c>
      <c r="Q116" s="9">
        <f>IF(P116="","",(P116&gt;=$G$5)+(P116&gt;=$G$6)+(P116&gt;=$G$7)+(P116&gt;=$G$8)+(P116&gt;=$G$9))</f>
        <v/>
      </c>
      <c r="R116" s="9">
        <f>IF(H116="",0,IFERROR(MATCH(H116,$F$5:$F$9,0),0))</f>
        <v/>
      </c>
      <c r="S116" s="9">
        <f>IF(Q116="","",IF(R116&gt;=Q116,R116+1,Q116))</f>
        <v/>
      </c>
      <c r="T116" s="9">
        <f>IF(F116="En retard",N(C116)+116/1000000000,"")</f>
        <v/>
      </c>
    </row>
    <row r="117" ht="16" customHeight="1">
      <c r="A117" s="14" t="n"/>
      <c r="B117" s="14" t="n"/>
      <c r="C117" s="22" t="n"/>
      <c r="D117" s="17" t="n"/>
      <c r="E117" s="17" t="n"/>
      <c r="F117" s="32">
        <f>IF(AND(A117="",B117="",C117="",D117="",E117=""),"",IF(D117="","Échéance à saisir",IF(E117&lt;&gt;"",IF(E117&lt;=D117,"Payée","Payée en retard"),IF($C$5&lt;=D117,"À échoir","En retard"))))</f>
        <v/>
      </c>
      <c r="G117" s="31">
        <f>IF(OR(F117="",D117=""),"",IF(E117&lt;&gt;"",MAX(0,E117-D117),MAX(0,$C$5-D117)))</f>
        <v/>
      </c>
      <c r="H117" s="14" t="n"/>
      <c r="I117" s="17" t="n"/>
      <c r="J117" s="41">
        <f>IF(S117="","",IF(S117&gt;5,"Suite avec votre avocat",INDEX($F$5:$F$9,S117)))</f>
        <v/>
      </c>
      <c r="K117" s="20">
        <f>IF(S117="","",IF(S117&gt;5,"",D117+INDEX($G$5:$G$9,S117)))</f>
        <v/>
      </c>
      <c r="L117" s="54">
        <f>IF(S117="","",IF(S117&gt;5,"À décider",IF(K117&lt;=$C$5,"À faire","")))</f>
        <v/>
      </c>
      <c r="M117" s="55">
        <f>IF(F117="","",IF(N(G117)&lt;=0,0,N(C117)*$C$6*G117/365))</f>
        <v/>
      </c>
      <c r="N117" s="33">
        <f>IF(F117="","",IF(N(G117)&lt;=0,0,N($C$7)))</f>
        <v/>
      </c>
      <c r="O117" s="14" t="n"/>
      <c r="P117" s="9">
        <f>IF(OR(F117="À échoir",F117="En retard"),$C$5-D117,"")</f>
        <v/>
      </c>
      <c r="Q117" s="9">
        <f>IF(P117="","",(P117&gt;=$G$5)+(P117&gt;=$G$6)+(P117&gt;=$G$7)+(P117&gt;=$G$8)+(P117&gt;=$G$9))</f>
        <v/>
      </c>
      <c r="R117" s="9">
        <f>IF(H117="",0,IFERROR(MATCH(H117,$F$5:$F$9,0),0))</f>
        <v/>
      </c>
      <c r="S117" s="9">
        <f>IF(Q117="","",IF(R117&gt;=Q117,R117+1,Q117))</f>
        <v/>
      </c>
      <c r="T117" s="9">
        <f>IF(F117="En retard",N(C117)+117/1000000000,"")</f>
        <v/>
      </c>
    </row>
    <row r="118" ht="16" customHeight="1">
      <c r="A118" s="14" t="n"/>
      <c r="B118" s="14" t="n"/>
      <c r="C118" s="22" t="n"/>
      <c r="D118" s="17" t="n"/>
      <c r="E118" s="17" t="n"/>
      <c r="F118" s="32">
        <f>IF(AND(A118="",B118="",C118="",D118="",E118=""),"",IF(D118="","Échéance à saisir",IF(E118&lt;&gt;"",IF(E118&lt;=D118,"Payée","Payée en retard"),IF($C$5&lt;=D118,"À échoir","En retard"))))</f>
        <v/>
      </c>
      <c r="G118" s="31">
        <f>IF(OR(F118="",D118=""),"",IF(E118&lt;&gt;"",MAX(0,E118-D118),MAX(0,$C$5-D118)))</f>
        <v/>
      </c>
      <c r="H118" s="14" t="n"/>
      <c r="I118" s="17" t="n"/>
      <c r="J118" s="41">
        <f>IF(S118="","",IF(S118&gt;5,"Suite avec votre avocat",INDEX($F$5:$F$9,S118)))</f>
        <v/>
      </c>
      <c r="K118" s="20">
        <f>IF(S118="","",IF(S118&gt;5,"",D118+INDEX($G$5:$G$9,S118)))</f>
        <v/>
      </c>
      <c r="L118" s="54">
        <f>IF(S118="","",IF(S118&gt;5,"À décider",IF(K118&lt;=$C$5,"À faire","")))</f>
        <v/>
      </c>
      <c r="M118" s="55">
        <f>IF(F118="","",IF(N(G118)&lt;=0,0,N(C118)*$C$6*G118/365))</f>
        <v/>
      </c>
      <c r="N118" s="33">
        <f>IF(F118="","",IF(N(G118)&lt;=0,0,N($C$7)))</f>
        <v/>
      </c>
      <c r="O118" s="14" t="n"/>
      <c r="P118" s="9">
        <f>IF(OR(F118="À échoir",F118="En retard"),$C$5-D118,"")</f>
        <v/>
      </c>
      <c r="Q118" s="9">
        <f>IF(P118="","",(P118&gt;=$G$5)+(P118&gt;=$G$6)+(P118&gt;=$G$7)+(P118&gt;=$G$8)+(P118&gt;=$G$9))</f>
        <v/>
      </c>
      <c r="R118" s="9">
        <f>IF(H118="",0,IFERROR(MATCH(H118,$F$5:$F$9,0),0))</f>
        <v/>
      </c>
      <c r="S118" s="9">
        <f>IF(Q118="","",IF(R118&gt;=Q118,R118+1,Q118))</f>
        <v/>
      </c>
      <c r="T118" s="9">
        <f>IF(F118="En retard",N(C118)+118/1000000000,"")</f>
        <v/>
      </c>
    </row>
    <row r="119" ht="16" customHeight="1">
      <c r="A119" s="14" t="n"/>
      <c r="B119" s="14" t="n"/>
      <c r="C119" s="22" t="n"/>
      <c r="D119" s="17" t="n"/>
      <c r="E119" s="17" t="n"/>
      <c r="F119" s="32">
        <f>IF(AND(A119="",B119="",C119="",D119="",E119=""),"",IF(D119="","Échéance à saisir",IF(E119&lt;&gt;"",IF(E119&lt;=D119,"Payée","Payée en retard"),IF($C$5&lt;=D119,"À échoir","En retard"))))</f>
        <v/>
      </c>
      <c r="G119" s="31">
        <f>IF(OR(F119="",D119=""),"",IF(E119&lt;&gt;"",MAX(0,E119-D119),MAX(0,$C$5-D119)))</f>
        <v/>
      </c>
      <c r="H119" s="14" t="n"/>
      <c r="I119" s="17" t="n"/>
      <c r="J119" s="41">
        <f>IF(S119="","",IF(S119&gt;5,"Suite avec votre avocat",INDEX($F$5:$F$9,S119)))</f>
        <v/>
      </c>
      <c r="K119" s="20">
        <f>IF(S119="","",IF(S119&gt;5,"",D119+INDEX($G$5:$G$9,S119)))</f>
        <v/>
      </c>
      <c r="L119" s="54">
        <f>IF(S119="","",IF(S119&gt;5,"À décider",IF(K119&lt;=$C$5,"À faire","")))</f>
        <v/>
      </c>
      <c r="M119" s="55">
        <f>IF(F119="","",IF(N(G119)&lt;=0,0,N(C119)*$C$6*G119/365))</f>
        <v/>
      </c>
      <c r="N119" s="33">
        <f>IF(F119="","",IF(N(G119)&lt;=0,0,N($C$7)))</f>
        <v/>
      </c>
      <c r="O119" s="14" t="n"/>
      <c r="P119" s="9">
        <f>IF(OR(F119="À échoir",F119="En retard"),$C$5-D119,"")</f>
        <v/>
      </c>
      <c r="Q119" s="9">
        <f>IF(P119="","",(P119&gt;=$G$5)+(P119&gt;=$G$6)+(P119&gt;=$G$7)+(P119&gt;=$G$8)+(P119&gt;=$G$9))</f>
        <v/>
      </c>
      <c r="R119" s="9">
        <f>IF(H119="",0,IFERROR(MATCH(H119,$F$5:$F$9,0),0))</f>
        <v/>
      </c>
      <c r="S119" s="9">
        <f>IF(Q119="","",IF(R119&gt;=Q119,R119+1,Q119))</f>
        <v/>
      </c>
      <c r="T119" s="9">
        <f>IF(F119="En retard",N(C119)+119/1000000000,"")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9">
    <mergeCell ref="L5:N5"/>
    <mergeCell ref="L8:N8"/>
    <mergeCell ref="A1:H1"/>
    <mergeCell ref="L4:N4"/>
    <mergeCell ref="A6:B6"/>
    <mergeCell ref="H7:J7"/>
    <mergeCell ref="A7:B7"/>
    <mergeCell ref="A11:D11"/>
    <mergeCell ref="L6:N6"/>
    <mergeCell ref="A8:D9"/>
    <mergeCell ref="H5:J5"/>
    <mergeCell ref="A5:B5"/>
    <mergeCell ref="A2:K2"/>
    <mergeCell ref="H8:J8"/>
    <mergeCell ref="L7:N7"/>
    <mergeCell ref="A4:B4"/>
    <mergeCell ref="H9:J9"/>
    <mergeCell ref="F4:J4"/>
    <mergeCell ref="H6:J6"/>
  </mergeCells>
  <conditionalFormatting sqref="O4">
    <cfRule type="expression" priority="1" dxfId="0" stopIfTrue="0">
      <formula>$O$4&gt;0</formula>
    </cfRule>
  </conditionalFormatting>
  <conditionalFormatting sqref="O8">
    <cfRule type="expression" priority="2" dxfId="0" stopIfTrue="0">
      <formula>$O$8&gt;0</formula>
    </cfRule>
  </conditionalFormatting>
  <conditionalFormatting sqref="F20:F119">
    <cfRule type="expression" priority="3" dxfId="0" stopIfTrue="0">
      <formula>$F20="En retard"</formula>
    </cfRule>
  </conditionalFormatting>
  <conditionalFormatting sqref="L20:L119">
    <cfRule type="expression" priority="4" dxfId="0" stopIfTrue="0">
      <formula>$L20&lt;&gt;""</formula>
    </cfRule>
  </conditionalFormatting>
  <conditionalFormatting sqref="K20:K119">
    <cfRule type="expression" priority="5" dxfId="0" stopIfTrue="0">
      <formula>AND(ISNUMBER($K20),$K20&lt;=$C$5)</formula>
    </cfRule>
  </conditionalFormatting>
  <dataValidations count="7">
    <dataValidation sqref="C4" showDropDown="0" showInputMessage="0" showErrorMessage="1" allowBlank="1" errorTitle="Date attendue" error="Saisissez une date (jj/mm/aaaa)." type="date" operator="greaterThanOrEqual">
      <formula1>36526</formula1>
    </dataValidation>
    <dataValidation sqref="C6" showDropDown="0" showInputMessage="0" showErrorMessage="1" allowBlank="1" errorTitle="Taux annuel" error="Saisissez un pourcentage entre 0 % et 100 %." type="decimal" operator="between">
      <formula1>0</formula1>
      <formula2>1</formula2>
    </dataValidation>
    <dataValidation sqref="C7" showDropDown="0" showInputMessage="0" showErrorMessage="1" allowBlank="1" errorTitle="Montant positif" error="Saisissez un montant positif." type="decimal" operator="greaterThanOrEqual">
      <formula1>0</formula1>
    </dataValidation>
    <dataValidation sqref="G5:G9" showDropDown="0" showInputMessage="0" showErrorMessage="1" allowBlank="1" errorTitle="Nombre de jours" error="Saisissez un nombre entier de jours (négatif = avant l’échéance)." type="whole" operator="between">
      <formula1>-90</formula1>
      <formula2>365</formula2>
    </dataValidation>
    <dataValidation sqref="C20:C119" showDropDown="0" showInputMessage="0" showErrorMessage="1" allowBlank="1" errorTitle="Montant positif" error="Saisissez un montant positif." type="decimal" operator="greaterThanOrEqual">
      <formula1>0</formula1>
    </dataValidation>
    <dataValidation sqref="D20:E119 I20:I119" showDropDown="0" showInputMessage="0" showErrorMessage="1" allowBlank="1" errorTitle="Date attendue" error="Saisissez une date (jj/mm/aaaa)." type="date" operator="greaterThanOrEqual">
      <formula1>36526</formula1>
    </dataValidation>
    <dataValidation sqref="H20:H119" showDropDown="0" showInputMessage="0" showErrorMessage="1" allowBlank="1" errorTitle="Action" error="Choisissez une étape du calendrier de relance." type="list">
      <formula1>$F$5:$F$9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&amp;L&amp;"Arial,Regular"&amp;8 &amp;K57534ETudor Hilcu, par THG Conseil · thgconseil.fr&amp;C&amp;"Arial,Regular"&amp;8 &amp;K57534E&amp;R&amp;"Arial,Regular"&amp;8 &amp;K57534E&amp;P / &amp;N</oddFooter>
    <evenHeader/>
    <evenFooter/>
    <firstHeader/>
    <firstFooter/>
  </headerFooter>
  <rowBreaks count="2" manualBreakCount="2">
    <brk id="49" min="0" max="16383" man="1"/>
    <brk id="94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1:C43"/>
  <sheetViews>
    <sheetView showGridLines="0" zoomScale="100" workbookViewId="0">
      <selection activeCell="A1" sqref="A1"/>
    </sheetView>
  </sheetViews>
  <sheetFormatPr baseColWidth="8" defaultRowHeight="15"/>
  <cols>
    <col width="3" customWidth="1" min="1" max="1"/>
    <col width="9" customWidth="1" min="2" max="2"/>
    <col width="112" customWidth="1" min="3" max="3"/>
    <col width="14" customWidth="1" min="4" max="4"/>
  </cols>
  <sheetData>
    <row r="1" ht="26" customHeight="1">
      <c r="B1" s="11" t="inlineStr">
        <is>
          <t>Modèles de relance</t>
        </is>
      </c>
    </row>
    <row r="2" ht="29.4" customHeight="1">
      <c r="B2" s="12" t="inlineStr">
        <is>
          <t>Quatre messages courts, à copier dans votre messagerie : sélectionnez les lignes d’un modèle, copiez, collez. Remplacez ce qui est entre crochets. Le ton reste cordial : vous voulez être payé et garder le client.</t>
        </is>
      </c>
    </row>
    <row r="4" ht="20" customHeight="1">
      <c r="B4" s="56" t="inlineStr">
        <is>
          <t>Modèle 1 · Rappel courtois · J-3, trois jours avant l’échéance</t>
        </is>
      </c>
      <c r="C4" s="43" t="n"/>
    </row>
    <row r="5" ht="18" customHeight="1">
      <c r="B5" s="57" t="inlineStr">
        <is>
          <t>Objet</t>
        </is>
      </c>
      <c r="C5" s="58" t="inlineStr">
        <is>
          <t>Facture [numéro] : échéance le [date]</t>
        </is>
      </c>
    </row>
    <row r="6" ht="16.7" customHeight="1">
      <c r="C6" s="59" t="inlineStr">
        <is>
          <t>Bonjour [Prénom],</t>
        </is>
      </c>
    </row>
    <row r="7" ht="16.7" customHeight="1">
      <c r="C7" s="59" t="inlineStr">
        <is>
          <t>Petit rappel : notre facture [numéro] de [montant] € TTC arrive à échéance le [date]. Je vous la joins de nouveau.</t>
        </is>
      </c>
    </row>
    <row r="8" ht="16.7" customHeight="1">
      <c r="C8" s="59" t="inlineStr">
        <is>
          <t>Si le paiement est déjà parti, merci, et ne tenez pas compte de ce message.</t>
        </is>
      </c>
    </row>
    <row r="9" ht="16.7" customHeight="1">
      <c r="C9" s="59" t="inlineStr">
        <is>
          <t>Bonne journée,</t>
        </is>
      </c>
    </row>
    <row r="10" ht="16.7" customHeight="1">
      <c r="C10" s="59" t="inlineStr">
        <is>
          <t>[Signature]</t>
        </is>
      </c>
    </row>
    <row r="12" ht="20" customHeight="1">
      <c r="B12" s="56" t="inlineStr">
        <is>
          <t>Modèle 2 · Relance amiable · J+1, le lendemain de l’échéance</t>
        </is>
      </c>
      <c r="C12" s="43" t="n"/>
    </row>
    <row r="13" ht="18" customHeight="1">
      <c r="B13" s="57" t="inlineStr">
        <is>
          <t>Objet</t>
        </is>
      </c>
      <c r="C13" s="58" t="inlineStr">
        <is>
          <t>Facture [numéro] : règlement attendu le [date]</t>
        </is>
      </c>
    </row>
    <row r="14" ht="16.7" customHeight="1">
      <c r="C14" s="59" t="inlineStr">
        <is>
          <t>Bonjour [Prénom],</t>
        </is>
      </c>
    </row>
    <row r="15" ht="29.4" customHeight="1">
      <c r="C15" s="59" t="inlineStr">
        <is>
          <t>Sauf erreur de notre part, nous n’avons pas encore reçu le règlement de la facture [numéro] de [montant] € TTC, arrivée à échéance hier.</t>
        </is>
      </c>
    </row>
    <row r="16" ht="29.4" customHeight="1">
      <c r="C16" s="59" t="inlineStr">
        <is>
          <t>Pouvez-vous me dire à quelle date le paiement est prévu ? Si quelque chose bloque (bon de commande, adresse de facturation, validation interne), dites-le-moi et nous le réglons ensemble.</t>
        </is>
      </c>
    </row>
    <row r="17" ht="16.7" customHeight="1">
      <c r="C17" s="59" t="inlineStr">
        <is>
          <t>Merci d’avance,</t>
        </is>
      </c>
    </row>
    <row r="18" ht="16.7" customHeight="1">
      <c r="C18" s="59" t="inlineStr">
        <is>
          <t>[Signature]</t>
        </is>
      </c>
    </row>
    <row r="20" ht="20" customHeight="1">
      <c r="B20" s="56" t="inlineStr">
        <is>
          <t>Modèle 3 · Confirmation après l’appel · J+7, une semaine après l’échéance</t>
        </is>
      </c>
      <c r="C20" s="43" t="n"/>
    </row>
    <row r="21" ht="18" customHeight="1">
      <c r="B21" s="57" t="inlineStr">
        <is>
          <t>Objet</t>
        </is>
      </c>
      <c r="C21" s="58" t="inlineStr">
        <is>
          <t>Facture [numéro] : suite à notre appel</t>
        </is>
      </c>
    </row>
    <row r="22" ht="16.7" customHeight="1">
      <c r="C22" s="59" t="inlineStr">
        <is>
          <t>Bonjour [Prénom],</t>
        </is>
      </c>
    </row>
    <row r="23" ht="16.7" customHeight="1">
      <c r="C23" s="59" t="inlineStr">
        <is>
          <t>Merci pour notre échange de ce jour. Comme convenu, la facture [numéro] de [montant] € TTC sera réglée le [date promise].</t>
        </is>
      </c>
    </row>
    <row r="24" ht="16.7" customHeight="1">
      <c r="C24" s="59" t="inlineStr">
        <is>
          <t>Je reviens vers vous si nous ne l’avons pas reçue à cette date.</t>
        </is>
      </c>
    </row>
    <row r="25" ht="16.7" customHeight="1">
      <c r="C25" s="59" t="inlineStr">
        <is>
          <t>Bonne journée,</t>
        </is>
      </c>
    </row>
    <row r="26" ht="16.7" customHeight="1">
      <c r="C26" s="59" t="inlineStr">
        <is>
          <t>[Signature]</t>
        </is>
      </c>
    </row>
    <row r="28" ht="20" customHeight="1">
      <c r="B28" s="56" t="inlineStr">
        <is>
          <t>Modèle 4 · Relance écrite rappelant les pénalités · J+14, deux semaines après l’échéance</t>
        </is>
      </c>
      <c r="C28" s="43" t="n"/>
    </row>
    <row r="29" ht="18" customHeight="1">
      <c r="B29" s="57" t="inlineStr">
        <is>
          <t>Objet</t>
        </is>
      </c>
      <c r="C29" s="58" t="inlineStr">
        <is>
          <t>Facture [numéro] : retard de paiement de [nombre] jours</t>
        </is>
      </c>
    </row>
    <row r="30" ht="16.7" customHeight="1">
      <c r="C30" s="59" t="inlineStr">
        <is>
          <t>Bonjour [Prénom],</t>
        </is>
      </c>
    </row>
    <row r="31" ht="16.7" customHeight="1">
      <c r="C31" s="59" t="inlineStr">
        <is>
          <t>La facture [numéro] de [montant] € TTC, échue le [date], reste impayée malgré nos relances du [date] et du [date].</t>
        </is>
      </c>
    </row>
    <row r="32" ht="29.4" customHeight="1">
      <c r="C32" s="59" t="inlineStr">
        <is>
          <t>Nos conditions générales de vente prévoient, comme l’article L441-10 du Code de commerce, des pénalités de retard au taux de [taux] % par an, ainsi qu’une indemnité forfaitaire de 40 € pour frais de recouvrement (article D441-5 du même code).</t>
        </is>
      </c>
    </row>
    <row r="33" ht="29.4" customHeight="1">
      <c r="C33" s="59" t="inlineStr">
        <is>
          <t>Nous préférons régler cela simplement : merci de procéder au paiement avant le [date limite], ou de m’appeler si une difficulté vous en empêche.</t>
        </is>
      </c>
    </row>
    <row r="34" ht="16.7" customHeight="1">
      <c r="C34" s="59" t="inlineStr">
        <is>
          <t>Cordialement,</t>
        </is>
      </c>
    </row>
    <row r="35" ht="16.7" customHeight="1">
      <c r="C35" s="59" t="inlineStr">
        <is>
          <t>[Signature]</t>
        </is>
      </c>
    </row>
    <row r="37" ht="20" customHeight="1">
      <c r="B37" s="56" t="inlineStr">
        <is>
          <t>Étape 5 · Mise en demeure · J+30</t>
        </is>
      </c>
      <c r="C37" s="43" t="n"/>
    </row>
    <row r="38" ht="29.4" customHeight="1">
      <c r="C38" s="60" t="inlineStr">
        <is>
          <t>Pas de modèle ici : une mise en demeure prépare une éventuelle procédure de recouvrement. Rédigez-la avec votre avocat, qui vérifiera aussi vos CGV et le montant réclamé.</t>
        </is>
      </c>
    </row>
    <row r="40">
      <c r="B40" s="3" t="inlineStr">
        <is>
          <t>Conseils</t>
        </is>
      </c>
      <c r="C40" s="4" t="n"/>
    </row>
    <row r="41" ht="16.7" customHeight="1">
      <c r="B41" s="61" t="inlineStr">
        <is>
          <t>·</t>
        </is>
      </c>
      <c r="C41" s="6" t="inlineStr">
        <is>
          <t>Une facture par message : c’est plus simple à traiter pour le client et à suivre pour vous.</t>
        </is>
      </c>
    </row>
    <row r="42" ht="16.7" customHeight="1">
      <c r="B42" s="61" t="inlineStr">
        <is>
          <t>·</t>
        </is>
      </c>
      <c r="C42" s="6" t="inlineStr">
        <is>
          <t>Après chaque relance, notez l’étape et la date dans l’onglet « Relances clients » : la prochaine action se recalcule.</t>
        </is>
      </c>
    </row>
    <row r="43" ht="29.4" customHeight="1">
      <c r="B43" s="61" t="inlineStr">
        <is>
          <t>·</t>
        </is>
      </c>
      <c r="C43" s="6" t="inlineStr">
        <is>
          <t>Avant le modèle 4, vérifiez ce que disent vos CGV et le contrat du client (taux, conditions). Entre professionnels, les pénalités sont exigibles sans rappel (Code de commerce, art. L441-10).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8">
    <mergeCell ref="B2:C2"/>
    <mergeCell ref="B20:C20"/>
    <mergeCell ref="B37:C37"/>
    <mergeCell ref="B28:C28"/>
    <mergeCell ref="B40:C40"/>
    <mergeCell ref="B1:C1"/>
    <mergeCell ref="B4:C4"/>
    <mergeCell ref="B12:C12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&amp;L&amp;"Arial,Regular"&amp;8 &amp;K57534ETudor Hilcu, par THG Conseil · thgconseil.fr&amp;C&amp;"Arial,Regular"&amp;8 &amp;K57534E&amp;R&amp;"Arial,Regular"&amp;8 &amp;K57534E&amp;P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V122"/>
  <sheetViews>
    <sheetView showGridLines="0" zoomScale="100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2" customWidth="1" min="4" max="4"/>
    <col width="12" customWidth="1" min="5" max="5"/>
    <col width="18" customWidth="1" min="6" max="6"/>
    <col width="11" customWidth="1" min="7" max="7"/>
    <col width="20" customWidth="1" min="8" max="8"/>
    <col width="12" customWidth="1" min="9" max="9"/>
    <col width="24" customWidth="1" min="10" max="10"/>
    <col width="12" customWidth="1" min="11" max="11"/>
    <col width="10" customWidth="1" min="12" max="12"/>
    <col width="13" customWidth="1" min="13" max="13"/>
    <col width="12" customWidth="1" min="14" max="14"/>
    <col width="24" customWidth="1" min="15" max="15"/>
    <col hidden="1" width="10" customWidth="1" min="16" max="16"/>
    <col hidden="1" width="10" customWidth="1" min="17" max="17"/>
    <col hidden="1" width="10" customWidth="1" min="18" max="18"/>
    <col hidden="1" width="10" customWidth="1" min="19" max="19"/>
    <col hidden="1" width="10" customWidth="1" min="20" max="20"/>
    <col hidden="1" width="10" customWidth="1" min="21" max="21"/>
    <col hidden="1" width="10" customWidth="1" min="22" max="22"/>
  </cols>
  <sheetData>
    <row r="1" ht="26" customHeight="1">
      <c r="A1" s="11" t="inlineStr">
        <is>
          <t>Exemple fictif : douze lundis</t>
        </is>
      </c>
    </row>
    <row r="2" ht="30" customHeight="1">
      <c r="A2" s="62" t="inlineStr">
        <is>
          <t>Exemple fictif : société, clients, montants et dates inventés pour montrer le fonctionnement du classeur. Ne les reprenez pas : vos chiffres se saisissent dans les autres onglets.</t>
        </is>
      </c>
      <c r="B2" s="63" t="n"/>
      <c r="C2" s="63" t="n"/>
      <c r="D2" s="63" t="n"/>
      <c r="E2" s="63" t="n"/>
      <c r="F2" s="63" t="n"/>
      <c r="G2" s="63" t="n"/>
      <c r="H2" s="63" t="n"/>
      <c r="I2" s="63" t="n"/>
      <c r="J2" s="63" t="n"/>
      <c r="K2" s="63" t="n"/>
      <c r="L2" s="63" t="n"/>
      <c r="M2" s="63" t="n"/>
      <c r="N2" s="63" t="n"/>
      <c r="O2" s="63" t="n"/>
    </row>
    <row r="3" ht="8" customHeight="1"/>
    <row r="4" ht="22" customHeight="1">
      <c r="A4" s="64" t="inlineStr">
        <is>
          <t>1. La règle du lundi : le solde</t>
        </is>
      </c>
      <c r="B4" s="43" t="n"/>
      <c r="C4" s="43" t="n"/>
      <c r="D4" s="43" t="n"/>
      <c r="E4" s="43" t="n"/>
      <c r="F4" s="43" t="n"/>
      <c r="G4" s="43" t="n"/>
      <c r="H4" s="43" t="n"/>
      <c r="I4" s="43" t="n"/>
      <c r="J4" s="43" t="n"/>
      <c r="K4" s="43" t="n"/>
      <c r="L4" s="43" t="n"/>
      <c r="M4" s="43" t="n"/>
    </row>
    <row r="6">
      <c r="A6" s="13" t="inlineStr">
        <is>
          <t>Société</t>
        </is>
      </c>
      <c r="C6" s="14" t="inlineStr">
        <is>
          <t>Société exemple (fictive)</t>
        </is>
      </c>
      <c r="D6" s="14" t="n"/>
      <c r="E6" s="14" t="n"/>
      <c r="G6" s="15" t="inlineStr">
        <is>
          <t>Dernier lundi saisi</t>
        </is>
      </c>
      <c r="J6" s="16">
        <f>IF(MAX($U$14:$U$25)=0,"-",INDEX($A$14:$A$25,MAX($U$14:$U$25)))</f>
        <v/>
      </c>
    </row>
    <row r="7">
      <c r="A7" s="13" t="inlineStr">
        <is>
          <t>Premier lundi suivi</t>
        </is>
      </c>
      <c r="C7" s="17" t="n">
        <v>46209</v>
      </c>
      <c r="D7" s="18" t="inlineStr">
        <is>
          <t>Tout jour de la semaine : ramené au lundi.</t>
        </is>
      </c>
      <c r="G7" s="15" t="inlineStr">
        <is>
          <t>Dernier solde</t>
        </is>
      </c>
      <c r="J7" s="19">
        <f>IF(MAX($U$14:$U$25)=0,"-",INDEX($B$14:$B$25,MAX($U$14:$U$25)))</f>
        <v/>
      </c>
    </row>
    <row r="8">
      <c r="A8" s="13" t="inlineStr">
        <is>
          <t>Lundi retenu (calculé)</t>
        </is>
      </c>
      <c r="C8" s="20">
        <f>IF($C$7="","",$C$7-WEEKDAY($C$7,2)+1)</f>
        <v/>
      </c>
      <c r="G8" s="15" t="inlineStr">
        <is>
          <t>Baisses de suite à ce jour</t>
        </is>
      </c>
      <c r="J8" s="21">
        <f>IF(MAX($U$14:$U$25)=0,"-",INDEX($D$14:$D$25,MAX($U$14:$U$25)))</f>
        <v/>
      </c>
    </row>
    <row r="9">
      <c r="A9" s="13" t="inlineStr">
        <is>
          <t>Seuil de sécurité (facultatif)</t>
        </is>
      </c>
      <c r="C9" s="22" t="n">
        <v>100000</v>
      </c>
      <c r="D9" s="18" t="inlineStr">
        <is>
          <t>Le solde passe en rouge en dessous de ce montant.</t>
        </is>
      </c>
      <c r="G9" s="15" t="inlineStr">
        <is>
          <t>Alerte du dernier lundi</t>
        </is>
      </c>
      <c r="J9" s="23">
        <f>IF(MAX($U$14:$U$25)=0,"-",IF(INDEX($E$14:$E$25,MAX($U$14:$U$25))="","Aucune",INDEX($E$14:$E$25,MAX($U$14:$U$25))))</f>
        <v/>
      </c>
    </row>
    <row r="10">
      <c r="A10" s="13" t="inlineStr">
        <is>
          <t>Alerte après combien de baisses de suite</t>
        </is>
      </c>
      <c r="C10" s="24" t="n">
        <v>3</v>
      </c>
      <c r="D10" s="18" t="inlineStr">
        <is>
          <t>La règle du lundi : 3.</t>
        </is>
      </c>
      <c r="G10" s="15" t="inlineStr">
        <is>
          <t>Retards du dernier lundi (5 plus gros)</t>
        </is>
      </c>
      <c r="J10" s="19">
        <f>IF(MAX($U$14:$U$25)=0,"-",IF(INDEX($G$14:$G$25,MAX($U$14:$U$25))="","-",INDEX($G$14:$G$25,MAX($U$14:$U$25))))</f>
        <v/>
      </c>
    </row>
    <row r="11">
      <c r="A11" s="7" t="n"/>
      <c r="B11" s="25" t="inlineStr">
        <is>
          <t>À saisir</t>
        </is>
      </c>
      <c r="C11" s="9" t="n"/>
      <c r="D11" s="25" t="inlineStr">
        <is>
          <t>Calculé</t>
        </is>
      </c>
      <c r="E11" s="26" t="inlineStr">
        <is>
          <t>Rouge</t>
        </is>
      </c>
      <c r="F11" s="25" t="inlineStr">
        <is>
          <t>Alerte</t>
        </is>
      </c>
    </row>
    <row r="12" ht="6" customHeight="1"/>
    <row r="13" ht="42" customHeight="1">
      <c r="A13" s="27" t="inlineStr">
        <is>
          <t>Lundi</t>
        </is>
      </c>
      <c r="B13" s="27" t="inlineStr">
        <is>
          <t>Solde de tous les comptes</t>
        </is>
      </c>
      <c r="C13" s="27" t="inlineStr">
        <is>
          <t>Variation sur le lundi d’avant</t>
        </is>
      </c>
      <c r="D13" s="27" t="inlineStr">
        <is>
          <t>Baisses de suite</t>
        </is>
      </c>
      <c r="E13" s="27" t="inlineStr">
        <is>
          <t>Alerte</t>
        </is>
      </c>
      <c r="F13" s="28" t="n"/>
      <c r="G13" s="27" t="inlineStr">
        <is>
          <t>Retards : total des 5 plus gros</t>
        </is>
      </c>
      <c r="H13" s="27" t="inlineStr">
        <is>
          <t>Variation des retards</t>
        </is>
      </c>
      <c r="I13" s="27" t="inlineStr">
        <is>
          <t>Clients qui reviennent</t>
        </is>
      </c>
      <c r="J13" s="27" t="inlineStr">
        <is>
          <t>Décision ou commentaire</t>
        </is>
      </c>
      <c r="K13" s="28" t="n"/>
      <c r="L13" s="28" t="n"/>
      <c r="M13" s="28" t="n"/>
    </row>
    <row r="14" ht="16" customHeight="1">
      <c r="A14" s="29">
        <f>IF($C$8="","",$C$8+0)</f>
        <v/>
      </c>
      <c r="B14" s="22" t="n">
        <v>142000</v>
      </c>
      <c r="C14" s="30" t="n"/>
      <c r="D14" s="31">
        <f>IF(B14="","",0)</f>
        <v/>
      </c>
      <c r="E14" s="32">
        <f>IF(B14="","",IF(ISNUMBER($C$10),IF(D14&gt;=$C$10,D14&amp;" baisses de suite",IF(ISNUMBER($C$9),IF(B14&lt;$C$9,"Sous le seuil",""),"")),IF(ISNUMBER($C$9),IF(B14&lt;$C$9,"Sous le seuil",""),"")))</f>
        <v/>
      </c>
      <c r="F14" s="32" t="n"/>
      <c r="G14" s="33">
        <f>IF(COUNT($C$34:$C$38)=0,"",SUM($C$34:$C$38))</f>
        <v/>
      </c>
      <c r="H14" s="30" t="n"/>
      <c r="I14" s="31">
        <f>IF(G14="","",COUNTIF($F$34:$F$38,"Revient : appeler"))</f>
        <v/>
      </c>
      <c r="J14" s="14" t="n"/>
      <c r="K14" s="14" t="n"/>
      <c r="L14" s="14" t="n"/>
      <c r="M14" s="14" t="n"/>
      <c r="U14" s="9">
        <f>IF(B14="","",1)</f>
        <v/>
      </c>
    </row>
    <row r="15" ht="16" customHeight="1">
      <c r="A15" s="29">
        <f>IF($C$8="","",$C$8+7)</f>
        <v/>
      </c>
      <c r="B15" s="22" t="n">
        <v>138500</v>
      </c>
      <c r="C15" s="30">
        <f>IF(OR(B15="",B14=""),"",B15-B14)</f>
        <v/>
      </c>
      <c r="D15" s="31">
        <f>IF(B15="","",IF(ISNUMBER(C15),IF(C15&lt;0,N(D14)+1,0),0))</f>
        <v/>
      </c>
      <c r="E15" s="32">
        <f>IF(B15="","",IF(ISNUMBER($C$10),IF(D15&gt;=$C$10,D15&amp;" baisses de suite",IF(ISNUMBER($C$9),IF(B15&lt;$C$9,"Sous le seuil",""),"")),IF(ISNUMBER($C$9),IF(B15&lt;$C$9,"Sous le seuil",""),"")))</f>
        <v/>
      </c>
      <c r="F15" s="32" t="n"/>
      <c r="G15" s="33">
        <f>IF(COUNT($C$39:$C$43)=0,"",SUM($C$39:$C$43))</f>
        <v/>
      </c>
      <c r="H15" s="30">
        <f>IF(OR(G15="",G14=""),"",G15-G14)</f>
        <v/>
      </c>
      <c r="I15" s="31">
        <f>IF(G15="","",COUNTIF($F$39:$F$43,"Revient : appeler"))</f>
        <v/>
      </c>
      <c r="J15" s="14" t="n"/>
      <c r="K15" s="14" t="n"/>
      <c r="L15" s="14" t="n"/>
      <c r="M15" s="14" t="n"/>
      <c r="U15" s="9">
        <f>IF(B15="","",2)</f>
        <v/>
      </c>
    </row>
    <row r="16" ht="16" customHeight="1">
      <c r="A16" s="29">
        <f>IF($C$8="","",$C$8+14)</f>
        <v/>
      </c>
      <c r="B16" s="22" t="n">
        <v>145200</v>
      </c>
      <c r="C16" s="30">
        <f>IF(OR(B16="",B15=""),"",B16-B15)</f>
        <v/>
      </c>
      <c r="D16" s="31">
        <f>IF(B16="","",IF(ISNUMBER(C16),IF(C16&lt;0,N(D15)+1,0),0))</f>
        <v/>
      </c>
      <c r="E16" s="32">
        <f>IF(B16="","",IF(ISNUMBER($C$10),IF(D16&gt;=$C$10,D16&amp;" baisses de suite",IF(ISNUMBER($C$9),IF(B16&lt;$C$9,"Sous le seuil",""),"")),IF(ISNUMBER($C$9),IF(B16&lt;$C$9,"Sous le seuil",""),"")))</f>
        <v/>
      </c>
      <c r="F16" s="32" t="n"/>
      <c r="G16" s="33">
        <f>IF(COUNT($C$44:$C$48)=0,"",SUM($C$44:$C$48))</f>
        <v/>
      </c>
      <c r="H16" s="30">
        <f>IF(OR(G16="",G15=""),"",G16-G15)</f>
        <v/>
      </c>
      <c r="I16" s="31">
        <f>IF(G16="","",COUNTIF($F$44:$F$48,"Revient : appeler"))</f>
        <v/>
      </c>
      <c r="J16" s="14" t="n"/>
      <c r="K16" s="14" t="n"/>
      <c r="L16" s="14" t="n"/>
      <c r="M16" s="14" t="n"/>
      <c r="U16" s="9">
        <f>IF(B16="","",3)</f>
        <v/>
      </c>
    </row>
    <row r="17" ht="16" customHeight="1">
      <c r="A17" s="29">
        <f>IF($C$8="","",$C$8+21)</f>
        <v/>
      </c>
      <c r="B17" s="22" t="n">
        <v>131800</v>
      </c>
      <c r="C17" s="30">
        <f>IF(OR(B17="",B16=""),"",B17-B16)</f>
        <v/>
      </c>
      <c r="D17" s="31">
        <f>IF(B17="","",IF(ISNUMBER(C17),IF(C17&lt;0,N(D16)+1,0),0))</f>
        <v/>
      </c>
      <c r="E17" s="32">
        <f>IF(B17="","",IF(ISNUMBER($C$10),IF(D17&gt;=$C$10,D17&amp;" baisses de suite",IF(ISNUMBER($C$9),IF(B17&lt;$C$9,"Sous le seuil",""),"")),IF(ISNUMBER($C$9),IF(B17&lt;$C$9,"Sous le seuil",""),"")))</f>
        <v/>
      </c>
      <c r="F17" s="32" t="n"/>
      <c r="G17" s="33">
        <f>IF(COUNT($C$49:$C$53)=0,"",SUM($C$49:$C$53))</f>
        <v/>
      </c>
      <c r="H17" s="30">
        <f>IF(OR(G17="",G16=""),"",G17-G16)</f>
        <v/>
      </c>
      <c r="I17" s="31">
        <f>IF(G17="","",COUNTIF($F$49:$F$53,"Revient : appeler"))</f>
        <v/>
      </c>
      <c r="J17" s="14" t="n"/>
      <c r="K17" s="14" t="n"/>
      <c r="L17" s="14" t="n"/>
      <c r="M17" s="14" t="n"/>
      <c r="U17" s="9">
        <f>IF(B17="","",4)</f>
        <v/>
      </c>
    </row>
    <row r="18" ht="16" customHeight="1">
      <c r="A18" s="29">
        <f>IF($C$8="","",$C$8+28)</f>
        <v/>
      </c>
      <c r="B18" s="22" t="n">
        <v>126400</v>
      </c>
      <c r="C18" s="30">
        <f>IF(OR(B18="",B17=""),"",B18-B17)</f>
        <v/>
      </c>
      <c r="D18" s="31">
        <f>IF(B18="","",IF(ISNUMBER(C18),IF(C18&lt;0,N(D17)+1,0),0))</f>
        <v/>
      </c>
      <c r="E18" s="32">
        <f>IF(B18="","",IF(ISNUMBER($C$10),IF(D18&gt;=$C$10,D18&amp;" baisses de suite",IF(ISNUMBER($C$9),IF(B18&lt;$C$9,"Sous le seuil",""),"")),IF(ISNUMBER($C$9),IF(B18&lt;$C$9,"Sous le seuil",""),"")))</f>
        <v/>
      </c>
      <c r="F18" s="32" t="n"/>
      <c r="G18" s="33">
        <f>IF(COUNT($C$54:$C$58)=0,"",SUM($C$54:$C$58))</f>
        <v/>
      </c>
      <c r="H18" s="30">
        <f>IF(OR(G18="",G17=""),"",G18-G17)</f>
        <v/>
      </c>
      <c r="I18" s="31">
        <f>IF(G18="","",COUNTIF($F$54:$F$58,"Revient : appeler"))</f>
        <v/>
      </c>
      <c r="J18" s="14" t="n"/>
      <c r="K18" s="14" t="n"/>
      <c r="L18" s="14" t="n"/>
      <c r="M18" s="14" t="n"/>
      <c r="U18" s="9">
        <f>IF(B18="","",5)</f>
        <v/>
      </c>
    </row>
    <row r="19" ht="16" customHeight="1">
      <c r="A19" s="29">
        <f>IF($C$8="","",$C$8+35)</f>
        <v/>
      </c>
      <c r="B19" s="22" t="n">
        <v>119900</v>
      </c>
      <c r="C19" s="30">
        <f>IF(OR(B19="",B18=""),"",B19-B18)</f>
        <v/>
      </c>
      <c r="D19" s="31">
        <f>IF(B19="","",IF(ISNUMBER(C19),IF(C19&lt;0,N(D18)+1,0),0))</f>
        <v/>
      </c>
      <c r="E19" s="32">
        <f>IF(B19="","",IF(ISNUMBER($C$10),IF(D19&gt;=$C$10,D19&amp;" baisses de suite",IF(ISNUMBER($C$9),IF(B19&lt;$C$9,"Sous le seuil",""),"")),IF(ISNUMBER($C$9),IF(B19&lt;$C$9,"Sous le seuil",""),"")))</f>
        <v/>
      </c>
      <c r="F19" s="32" t="n"/>
      <c r="G19" s="33">
        <f>IF(COUNT($C$59:$C$63)=0,"",SUM($C$59:$C$63))</f>
        <v/>
      </c>
      <c r="H19" s="30">
        <f>IF(OR(G19="",G18=""),"",G19-G18)</f>
        <v/>
      </c>
      <c r="I19" s="31">
        <f>IF(G19="","",COUNTIF($F$59:$F$63,"Revient : appeler"))</f>
        <v/>
      </c>
      <c r="J19" s="14" t="inlineStr">
        <is>
          <t>Revoir le plan à 13 semaines ; appeler Delta et Bravo.</t>
        </is>
      </c>
      <c r="K19" s="14" t="n"/>
      <c r="L19" s="14" t="n"/>
      <c r="M19" s="14" t="n"/>
      <c r="U19" s="9">
        <f>IF(B19="","",6)</f>
        <v/>
      </c>
    </row>
    <row r="20" ht="16" customHeight="1">
      <c r="A20" s="29">
        <f>IF($C$8="","",$C$8+42)</f>
        <v/>
      </c>
      <c r="B20" s="22" t="n">
        <v>124300</v>
      </c>
      <c r="C20" s="30">
        <f>IF(OR(B20="",B19=""),"",B20-B19)</f>
        <v/>
      </c>
      <c r="D20" s="31">
        <f>IF(B20="","",IF(ISNUMBER(C20),IF(C20&lt;0,N(D19)+1,0),0))</f>
        <v/>
      </c>
      <c r="E20" s="32">
        <f>IF(B20="","",IF(ISNUMBER($C$10),IF(D20&gt;=$C$10,D20&amp;" baisses de suite",IF(ISNUMBER($C$9),IF(B20&lt;$C$9,"Sous le seuil",""),"")),IF(ISNUMBER($C$9),IF(B20&lt;$C$9,"Sous le seuil",""),"")))</f>
        <v/>
      </c>
      <c r="F20" s="32" t="n"/>
      <c r="G20" s="33">
        <f>IF(COUNT($C$64:$C$68)=0,"",SUM($C$64:$C$68))</f>
        <v/>
      </c>
      <c r="H20" s="30">
        <f>IF(OR(G20="",G19=""),"",G20-G19)</f>
        <v/>
      </c>
      <c r="I20" s="31">
        <f>IF(G20="","",COUNTIF($F$64:$F$68,"Revient : appeler"))</f>
        <v/>
      </c>
      <c r="J20" s="14" t="n"/>
      <c r="K20" s="14" t="n"/>
      <c r="L20" s="14" t="n"/>
      <c r="M20" s="14" t="n"/>
      <c r="U20" s="9">
        <f>IF(B20="","",7)</f>
        <v/>
      </c>
    </row>
    <row r="21" ht="16" customHeight="1">
      <c r="A21" s="29">
        <f>IF($C$8="","",$C$8+49)</f>
        <v/>
      </c>
      <c r="B21" s="22" t="n">
        <v>121000</v>
      </c>
      <c r="C21" s="30">
        <f>IF(OR(B21="",B20=""),"",B21-B20)</f>
        <v/>
      </c>
      <c r="D21" s="31">
        <f>IF(B21="","",IF(ISNUMBER(C21),IF(C21&lt;0,N(D20)+1,0),0))</f>
        <v/>
      </c>
      <c r="E21" s="32">
        <f>IF(B21="","",IF(ISNUMBER($C$10),IF(D21&gt;=$C$10,D21&amp;" baisses de suite",IF(ISNUMBER($C$9),IF(B21&lt;$C$9,"Sous le seuil",""),"")),IF(ISNUMBER($C$9),IF(B21&lt;$C$9,"Sous le seuil",""),"")))</f>
        <v/>
      </c>
      <c r="F21" s="32" t="n"/>
      <c r="G21" s="33">
        <f>IF(COUNT($C$69:$C$73)=0,"",SUM($C$69:$C$73))</f>
        <v/>
      </c>
      <c r="H21" s="30">
        <f>IF(OR(G21="",G20=""),"",G21-G20)</f>
        <v/>
      </c>
      <c r="I21" s="31">
        <f>IF(G21="","",COUNTIF($F$69:$F$73,"Revient : appeler"))</f>
        <v/>
      </c>
      <c r="J21" s="14" t="n"/>
      <c r="K21" s="14" t="n"/>
      <c r="L21" s="14" t="n"/>
      <c r="M21" s="14" t="n"/>
      <c r="U21" s="9">
        <f>IF(B21="","",8)</f>
        <v/>
      </c>
    </row>
    <row r="22" ht="16" customHeight="1">
      <c r="A22" s="29">
        <f>IF($C$8="","",$C$8+56)</f>
        <v/>
      </c>
      <c r="B22" s="22" t="n">
        <v>128600</v>
      </c>
      <c r="C22" s="30">
        <f>IF(OR(B22="",B21=""),"",B22-B21)</f>
        <v/>
      </c>
      <c r="D22" s="31">
        <f>IF(B22="","",IF(ISNUMBER(C22),IF(C22&lt;0,N(D21)+1,0),0))</f>
        <v/>
      </c>
      <c r="E22" s="32">
        <f>IF(B22="","",IF(ISNUMBER($C$10),IF(D22&gt;=$C$10,D22&amp;" baisses de suite",IF(ISNUMBER($C$9),IF(B22&lt;$C$9,"Sous le seuil",""),"")),IF(ISNUMBER($C$9),IF(B22&lt;$C$9,"Sous le seuil",""),"")))</f>
        <v/>
      </c>
      <c r="F22" s="32" t="n"/>
      <c r="G22" s="33">
        <f>IF(COUNT($C$74:$C$78)=0,"",SUM($C$74:$C$78))</f>
        <v/>
      </c>
      <c r="H22" s="30">
        <f>IF(OR(G22="",G21=""),"",G22-G21)</f>
        <v/>
      </c>
      <c r="I22" s="31">
        <f>IF(G22="","",COUNTIF($F$74:$F$78,"Revient : appeler"))</f>
        <v/>
      </c>
      <c r="J22" s="14" t="n"/>
      <c r="K22" s="14" t="n"/>
      <c r="L22" s="14" t="n"/>
      <c r="M22" s="14" t="n"/>
      <c r="U22" s="9">
        <f>IF(B22="","",9)</f>
        <v/>
      </c>
    </row>
    <row r="23" ht="16" customHeight="1">
      <c r="A23" s="29">
        <f>IF($C$8="","",$C$8+63)</f>
        <v/>
      </c>
      <c r="B23" s="22" t="n">
        <v>117200</v>
      </c>
      <c r="C23" s="30">
        <f>IF(OR(B23="",B22=""),"",B23-B22)</f>
        <v/>
      </c>
      <c r="D23" s="31">
        <f>IF(B23="","",IF(ISNUMBER(C23),IF(C23&lt;0,N(D22)+1,0),0))</f>
        <v/>
      </c>
      <c r="E23" s="32">
        <f>IF(B23="","",IF(ISNUMBER($C$10),IF(D23&gt;=$C$10,D23&amp;" baisses de suite",IF(ISNUMBER($C$9),IF(B23&lt;$C$9,"Sous le seuil",""),"")),IF(ISNUMBER($C$9),IF(B23&lt;$C$9,"Sous le seuil",""),"")))</f>
        <v/>
      </c>
      <c r="F23" s="32" t="n"/>
      <c r="G23" s="33">
        <f>IF(COUNT($C$79:$C$83)=0,"",SUM($C$79:$C$83))</f>
        <v/>
      </c>
      <c r="H23" s="30">
        <f>IF(OR(G23="",G22=""),"",G23-G22)</f>
        <v/>
      </c>
      <c r="I23" s="31">
        <f>IF(G23="","",COUNTIF($F$79:$F$83,"Revient : appeler"))</f>
        <v/>
      </c>
      <c r="J23" s="14" t="n"/>
      <c r="K23" s="14" t="n"/>
      <c r="L23" s="14" t="n"/>
      <c r="M23" s="14" t="n"/>
      <c r="U23" s="9">
        <f>IF(B23="","",10)</f>
        <v/>
      </c>
    </row>
    <row r="24" ht="16" customHeight="1">
      <c r="A24" s="29">
        <f>IF($C$8="","",$C$8+70)</f>
        <v/>
      </c>
      <c r="B24" s="22" t="n">
        <v>109500</v>
      </c>
      <c r="C24" s="30">
        <f>IF(OR(B24="",B23=""),"",B24-B23)</f>
        <v/>
      </c>
      <c r="D24" s="31">
        <f>IF(B24="","",IF(ISNUMBER(C24),IF(C24&lt;0,N(D23)+1,0),0))</f>
        <v/>
      </c>
      <c r="E24" s="32">
        <f>IF(B24="","",IF(ISNUMBER($C$10),IF(D24&gt;=$C$10,D24&amp;" baisses de suite",IF(ISNUMBER($C$9),IF(B24&lt;$C$9,"Sous le seuil",""),"")),IF(ISNUMBER($C$9),IF(B24&lt;$C$9,"Sous le seuil",""),"")))</f>
        <v/>
      </c>
      <c r="F24" s="32" t="n"/>
      <c r="G24" s="33">
        <f>IF(COUNT($C$84:$C$88)=0,"",SUM($C$84:$C$88))</f>
        <v/>
      </c>
      <c r="H24" s="30">
        <f>IF(OR(G24="",G23=""),"",G24-G23)</f>
        <v/>
      </c>
      <c r="I24" s="31">
        <f>IF(G24="","",COUNTIF($F$84:$F$88,"Revient : appeler"))</f>
        <v/>
      </c>
      <c r="J24" s="14" t="n"/>
      <c r="K24" s="14" t="n"/>
      <c r="L24" s="14" t="n"/>
      <c r="M24" s="14" t="n"/>
      <c r="U24" s="9">
        <f>IF(B24="","",11)</f>
        <v/>
      </c>
    </row>
    <row r="25" ht="16" customHeight="1">
      <c r="A25" s="29">
        <f>IF($C$8="","",$C$8+77)</f>
        <v/>
      </c>
      <c r="B25" s="22" t="n">
        <v>98700</v>
      </c>
      <c r="C25" s="30">
        <f>IF(OR(B25="",B24=""),"",B25-B24)</f>
        <v/>
      </c>
      <c r="D25" s="31">
        <f>IF(B25="","",IF(ISNUMBER(C25),IF(C25&lt;0,N(D24)+1,0),0))</f>
        <v/>
      </c>
      <c r="E25" s="32">
        <f>IF(B25="","",IF(ISNUMBER($C$10),IF(D25&gt;=$C$10,D25&amp;" baisses de suite",IF(ISNUMBER($C$9),IF(B25&lt;$C$9,"Sous le seuil",""),"")),IF(ISNUMBER($C$9),IF(B25&lt;$C$9,"Sous le seuil",""),"")))</f>
        <v/>
      </c>
      <c r="F25" s="32" t="n"/>
      <c r="G25" s="33">
        <f>IF(COUNT($C$89:$C$93)=0,"",SUM($C$89:$C$93))</f>
        <v/>
      </c>
      <c r="H25" s="30">
        <f>IF(OR(G25="",G24=""),"",G25-G24)</f>
        <v/>
      </c>
      <c r="I25" s="31">
        <f>IF(G25="","",COUNTIF($F$89:$F$93,"Revient : appeler"))</f>
        <v/>
      </c>
      <c r="J25" s="14" t="inlineStr">
        <is>
          <t>Point avec l’expert-comptable et la banque cette semaine.</t>
        </is>
      </c>
      <c r="K25" s="14" t="n"/>
      <c r="L25" s="14" t="n"/>
      <c r="M25" s="14" t="n"/>
      <c r="U25" s="9">
        <f>IF(B25="","",12)</f>
        <v/>
      </c>
    </row>
    <row r="26" ht="22" customHeight="1">
      <c r="A26" s="64" t="inlineStr">
        <is>
          <t>2. La règle du lundi : les cinq plus gros retards</t>
        </is>
      </c>
      <c r="B26" s="43" t="n"/>
      <c r="C26" s="43" t="n"/>
      <c r="D26" s="43" t="n"/>
      <c r="E26" s="43" t="n"/>
      <c r="F26" s="43" t="n"/>
      <c r="G26" s="43" t="n"/>
      <c r="H26" s="43" t="n"/>
      <c r="I26" s="43" t="n"/>
      <c r="J26" s="43" t="n"/>
      <c r="K26" s="43" t="n"/>
      <c r="L26" s="43" t="n"/>
      <c r="M26" s="43" t="n"/>
    </row>
    <row r="28">
      <c r="A28" s="13" t="inlineStr">
        <is>
          <t>Lundis suivis à partir du</t>
        </is>
      </c>
      <c r="C28" s="20">
        <f>IF($C$8="","",$C$8)</f>
        <v/>
      </c>
      <c r="D28" s="18" t="inlineStr">
        <is>
          <t>Date de l’onglet « Règle du lundi (solde) ».</t>
        </is>
      </c>
    </row>
    <row r="29">
      <c r="A29" s="13" t="inlineStr">
        <is>
          <t>Alerte quand un client figure dans la liste</t>
        </is>
      </c>
      <c r="C29" s="24" t="n">
        <v>3</v>
      </c>
      <c r="D29" s="18" t="inlineStr">
        <is>
          <t>lundis (la règle du lundi : 3).</t>
        </is>
      </c>
    </row>
    <row r="30" ht="26.9" customHeight="1">
      <c r="A30" s="34" t="inlineStr">
        <is>
          <t>En haut de l’onglet « Relances clients », les cinq plus gros retards du jour sont prêts à recopier, de la plus grosse facture à la plus petite. Si un client a deux factures dans la liste, il ne compte qu’une fois par lundi.</t>
        </is>
      </c>
    </row>
    <row r="32" ht="6" customHeight="1"/>
    <row r="33" ht="42" customHeight="1">
      <c r="A33" s="27" t="inlineStr">
        <is>
          <t>Lundi</t>
        </is>
      </c>
      <c r="B33" s="27" t="inlineStr">
        <is>
          <t>Client</t>
        </is>
      </c>
      <c r="C33" s="27" t="inlineStr">
        <is>
          <t>Montant TTC en retard</t>
        </is>
      </c>
      <c r="D33" s="27" t="inlineStr">
        <is>
          <t>Jours de retard</t>
        </is>
      </c>
      <c r="E33" s="27" t="inlineStr">
        <is>
          <t>Lundis dans la liste</t>
        </is>
      </c>
      <c r="F33" s="27" t="inlineStr">
        <is>
          <t>Alerte</t>
        </is>
      </c>
      <c r="G33" s="27" t="inlineStr">
        <is>
          <t>Action décidée</t>
        </is>
      </c>
      <c r="H33" s="28" t="n"/>
      <c r="I33" s="28" t="n"/>
    </row>
    <row r="34" ht="15" customHeight="1">
      <c r="A34" s="35">
        <f>IF($C$28="","",$C$28+0)</f>
        <v/>
      </c>
      <c r="B34" s="36" t="inlineStr">
        <is>
          <t>Client Bravo</t>
        </is>
      </c>
      <c r="C34" s="37" t="n">
        <v>7800</v>
      </c>
      <c r="D34" s="38" t="n">
        <v>12</v>
      </c>
      <c r="E34" s="39">
        <f>IF(B34="","",COUNTIF($V$34:V34,B34))</f>
        <v/>
      </c>
      <c r="F34" s="40">
        <f>IF(V34="","",IF(E34&gt;=IF(N($C$29)&gt;0,$C$29,3),"Revient : appeler",IF(E34&gt;=2,"Déjà dans la liste","")))</f>
        <v/>
      </c>
      <c r="G34" s="36" t="n"/>
      <c r="H34" s="36" t="n"/>
      <c r="I34" s="36" t="n"/>
      <c r="V34" s="9">
        <f>IF(B34="","",IF(COUNTIF(B34:B34,B34)=1,B34,""))</f>
        <v/>
      </c>
    </row>
    <row r="35" ht="15" customHeight="1">
      <c r="A35" s="29" t="n"/>
      <c r="B35" s="14" t="inlineStr">
        <is>
          <t>Client Echo</t>
        </is>
      </c>
      <c r="C35" s="22" t="n">
        <v>3900</v>
      </c>
      <c r="D35" s="24" t="n">
        <v>20</v>
      </c>
      <c r="E35" s="31">
        <f>IF(B35="","",COUNTIF($V$34:V35,B35))</f>
        <v/>
      </c>
      <c r="F35" s="41">
        <f>IF(V35="","",IF(E35&gt;=IF(N($C$29)&gt;0,$C$29,3),"Revient : appeler",IF(E35&gt;=2,"Déjà dans la liste","")))</f>
        <v/>
      </c>
      <c r="G35" s="14" t="n"/>
      <c r="H35" s="14" t="n"/>
      <c r="I35" s="14" t="n"/>
      <c r="V35" s="9">
        <f>IF(B35="","",IF(COUNTIF(B34:B35,B35)=1,B35,""))</f>
        <v/>
      </c>
    </row>
    <row r="36" ht="15" customHeight="1">
      <c r="A36" s="29" t="n"/>
      <c r="B36" s="14" t="inlineStr">
        <is>
          <t>Client Alpha</t>
        </is>
      </c>
      <c r="C36" s="22" t="n">
        <v>2600</v>
      </c>
      <c r="D36" s="24" t="n">
        <v>6</v>
      </c>
      <c r="E36" s="31">
        <f>IF(B36="","",COUNTIF($V$34:V36,B36))</f>
        <v/>
      </c>
      <c r="F36" s="41">
        <f>IF(V36="","",IF(E36&gt;=IF(N($C$29)&gt;0,$C$29,3),"Revient : appeler",IF(E36&gt;=2,"Déjà dans la liste","")))</f>
        <v/>
      </c>
      <c r="G36" s="14" t="n"/>
      <c r="H36" s="14" t="n"/>
      <c r="I36" s="14" t="n"/>
      <c r="V36" s="9">
        <f>IF(B36="","",IF(COUNTIF(B34:B36,B36)=1,B36,""))</f>
        <v/>
      </c>
    </row>
    <row r="37" ht="15" customHeight="1">
      <c r="A37" s="29" t="n"/>
      <c r="B37" s="14" t="n"/>
      <c r="C37" s="22" t="n"/>
      <c r="D37" s="24" t="n"/>
      <c r="E37" s="31">
        <f>IF(B37="","",COUNTIF($V$34:V37,B37))</f>
        <v/>
      </c>
      <c r="F37" s="41">
        <f>IF(V37="","",IF(E37&gt;=IF(N($C$29)&gt;0,$C$29,3),"Revient : appeler",IF(E37&gt;=2,"Déjà dans la liste","")))</f>
        <v/>
      </c>
      <c r="G37" s="14" t="n"/>
      <c r="H37" s="14" t="n"/>
      <c r="I37" s="14" t="n"/>
      <c r="V37" s="9">
        <f>IF(B37="","",IF(COUNTIF(B34:B37,B37)=1,B37,""))</f>
        <v/>
      </c>
    </row>
    <row r="38" ht="15" customHeight="1">
      <c r="A38" s="29" t="n"/>
      <c r="B38" s="14" t="n"/>
      <c r="C38" s="22" t="n"/>
      <c r="D38" s="24" t="n"/>
      <c r="E38" s="31">
        <f>IF(B38="","",COUNTIF($V$34:V38,B38))</f>
        <v/>
      </c>
      <c r="F38" s="41">
        <f>IF(V38="","",IF(E38&gt;=IF(N($C$29)&gt;0,$C$29,3),"Revient : appeler",IF(E38&gt;=2,"Déjà dans la liste","")))</f>
        <v/>
      </c>
      <c r="G38" s="14" t="n"/>
      <c r="H38" s="14" t="n"/>
      <c r="I38" s="14" t="n"/>
      <c r="V38" s="9">
        <f>IF(B38="","",IF(COUNTIF(B34:B38,B38)=1,B38,""))</f>
        <v/>
      </c>
    </row>
    <row r="39" ht="15" customHeight="1">
      <c r="A39" s="35">
        <f>IF($C$28="","",$C$28+7)</f>
        <v/>
      </c>
      <c r="B39" s="36" t="inlineStr">
        <is>
          <t>Client Bravo</t>
        </is>
      </c>
      <c r="C39" s="37" t="n">
        <v>7800</v>
      </c>
      <c r="D39" s="38" t="n">
        <v>19</v>
      </c>
      <c r="E39" s="39">
        <f>IF(B39="","",COUNTIF($V$34:V39,B39))</f>
        <v/>
      </c>
      <c r="F39" s="40">
        <f>IF(V39="","",IF(E39&gt;=IF(N($C$29)&gt;0,$C$29,3),"Revient : appeler",IF(E39&gt;=2,"Déjà dans la liste","")))</f>
        <v/>
      </c>
      <c r="G39" s="36" t="n"/>
      <c r="H39" s="36" t="n"/>
      <c r="I39" s="36" t="n"/>
      <c r="V39" s="9">
        <f>IF(B39="","",IF(COUNTIF(B39:B39,B39)=1,B39,""))</f>
        <v/>
      </c>
    </row>
    <row r="40" ht="15" customHeight="1">
      <c r="A40" s="29" t="n"/>
      <c r="B40" s="14" t="inlineStr">
        <is>
          <t>Client Echo</t>
        </is>
      </c>
      <c r="C40" s="22" t="n">
        <v>3900</v>
      </c>
      <c r="D40" s="24" t="n">
        <v>27</v>
      </c>
      <c r="E40" s="31">
        <f>IF(B40="","",COUNTIF($V$34:V40,B40))</f>
        <v/>
      </c>
      <c r="F40" s="41">
        <f>IF(V40="","",IF(E40&gt;=IF(N($C$29)&gt;0,$C$29,3),"Revient : appeler",IF(E40&gt;=2,"Déjà dans la liste","")))</f>
        <v/>
      </c>
      <c r="G40" s="14" t="n"/>
      <c r="H40" s="14" t="n"/>
      <c r="I40" s="14" t="n"/>
      <c r="V40" s="9">
        <f>IF(B40="","",IF(COUNTIF(B39:B40,B40)=1,B40,""))</f>
        <v/>
      </c>
    </row>
    <row r="41" ht="15" customHeight="1">
      <c r="A41" s="29" t="n"/>
      <c r="B41" s="14" t="n"/>
      <c r="C41" s="22" t="n"/>
      <c r="D41" s="24" t="n"/>
      <c r="E41" s="31">
        <f>IF(B41="","",COUNTIF($V$34:V41,B41))</f>
        <v/>
      </c>
      <c r="F41" s="41">
        <f>IF(V41="","",IF(E41&gt;=IF(N($C$29)&gt;0,$C$29,3),"Revient : appeler",IF(E41&gt;=2,"Déjà dans la liste","")))</f>
        <v/>
      </c>
      <c r="G41" s="14" t="n"/>
      <c r="H41" s="14" t="n"/>
      <c r="I41" s="14" t="n"/>
      <c r="V41" s="9">
        <f>IF(B41="","",IF(COUNTIF(B39:B41,B41)=1,B41,""))</f>
        <v/>
      </c>
    </row>
    <row r="42" ht="15" customHeight="1">
      <c r="A42" s="29" t="n"/>
      <c r="B42" s="14" t="n"/>
      <c r="C42" s="22" t="n"/>
      <c r="D42" s="24" t="n"/>
      <c r="E42" s="31">
        <f>IF(B42="","",COUNTIF($V$34:V42,B42))</f>
        <v/>
      </c>
      <c r="F42" s="41">
        <f>IF(V42="","",IF(E42&gt;=IF(N($C$29)&gt;0,$C$29,3),"Revient : appeler",IF(E42&gt;=2,"Déjà dans la liste","")))</f>
        <v/>
      </c>
      <c r="G42" s="14" t="n"/>
      <c r="H42" s="14" t="n"/>
      <c r="I42" s="14" t="n"/>
      <c r="V42" s="9">
        <f>IF(B42="","",IF(COUNTIF(B39:B42,B42)=1,B42,""))</f>
        <v/>
      </c>
    </row>
    <row r="43" ht="15" customHeight="1">
      <c r="A43" s="29" t="n"/>
      <c r="B43" s="14" t="n"/>
      <c r="C43" s="22" t="n"/>
      <c r="D43" s="24" t="n"/>
      <c r="E43" s="31">
        <f>IF(B43="","",COUNTIF($V$34:V43,B43))</f>
        <v/>
      </c>
      <c r="F43" s="41">
        <f>IF(V43="","",IF(E43&gt;=IF(N($C$29)&gt;0,$C$29,3),"Revient : appeler",IF(E43&gt;=2,"Déjà dans la liste","")))</f>
        <v/>
      </c>
      <c r="G43" s="14" t="n"/>
      <c r="H43" s="14" t="n"/>
      <c r="I43" s="14" t="n"/>
      <c r="V43" s="9">
        <f>IF(B43="","",IF(COUNTIF(B39:B43,B43)=1,B43,""))</f>
        <v/>
      </c>
    </row>
    <row r="44" ht="15" customHeight="1">
      <c r="A44" s="35">
        <f>IF($C$28="","",$C$28+14)</f>
        <v/>
      </c>
      <c r="B44" s="36" t="inlineStr">
        <is>
          <t>Client Echo</t>
        </is>
      </c>
      <c r="C44" s="37" t="n">
        <v>3900</v>
      </c>
      <c r="D44" s="38" t="n">
        <v>34</v>
      </c>
      <c r="E44" s="39">
        <f>IF(B44="","",COUNTIF($V$34:V44,B44))</f>
        <v/>
      </c>
      <c r="F44" s="40">
        <f>IF(V44="","",IF(E44&gt;=IF(N($C$29)&gt;0,$C$29,3),"Revient : appeler",IF(E44&gt;=2,"Déjà dans la liste","")))</f>
        <v/>
      </c>
      <c r="G44" s="36" t="n"/>
      <c r="H44" s="36" t="n"/>
      <c r="I44" s="36" t="n"/>
      <c r="V44" s="9">
        <f>IF(B44="","",IF(COUNTIF(B44:B44,B44)=1,B44,""))</f>
        <v/>
      </c>
    </row>
    <row r="45" ht="15" customHeight="1">
      <c r="A45" s="29" t="n"/>
      <c r="B45" s="14" t="n"/>
      <c r="C45" s="22" t="n"/>
      <c r="D45" s="24" t="n"/>
      <c r="E45" s="31">
        <f>IF(B45="","",COUNTIF($V$34:V45,B45))</f>
        <v/>
      </c>
      <c r="F45" s="41">
        <f>IF(V45="","",IF(E45&gt;=IF(N($C$29)&gt;0,$C$29,3),"Revient : appeler",IF(E45&gt;=2,"Déjà dans la liste","")))</f>
        <v/>
      </c>
      <c r="G45" s="14" t="n"/>
      <c r="H45" s="14" t="n"/>
      <c r="I45" s="14" t="n"/>
      <c r="V45" s="9">
        <f>IF(B45="","",IF(COUNTIF(B44:B45,B45)=1,B45,""))</f>
        <v/>
      </c>
    </row>
    <row r="46" ht="15" customHeight="1">
      <c r="A46" s="29" t="n"/>
      <c r="B46" s="14" t="n"/>
      <c r="C46" s="22" t="n"/>
      <c r="D46" s="24" t="n"/>
      <c r="E46" s="31">
        <f>IF(B46="","",COUNTIF($V$34:V46,B46))</f>
        <v/>
      </c>
      <c r="F46" s="41">
        <f>IF(V46="","",IF(E46&gt;=IF(N($C$29)&gt;0,$C$29,3),"Revient : appeler",IF(E46&gt;=2,"Déjà dans la liste","")))</f>
        <v/>
      </c>
      <c r="G46" s="14" t="n"/>
      <c r="H46" s="14" t="n"/>
      <c r="I46" s="14" t="n"/>
      <c r="V46" s="9">
        <f>IF(B46="","",IF(COUNTIF(B44:B46,B46)=1,B46,""))</f>
        <v/>
      </c>
    </row>
    <row r="47" ht="15" customHeight="1">
      <c r="A47" s="29" t="n"/>
      <c r="B47" s="14" t="n"/>
      <c r="C47" s="22" t="n"/>
      <c r="D47" s="24" t="n"/>
      <c r="E47" s="31">
        <f>IF(B47="","",COUNTIF($V$34:V47,B47))</f>
        <v/>
      </c>
      <c r="F47" s="41">
        <f>IF(V47="","",IF(E47&gt;=IF(N($C$29)&gt;0,$C$29,3),"Revient : appeler",IF(E47&gt;=2,"Déjà dans la liste","")))</f>
        <v/>
      </c>
      <c r="G47" s="14" t="n"/>
      <c r="H47" s="14" t="n"/>
      <c r="I47" s="14" t="n"/>
      <c r="V47" s="9">
        <f>IF(B47="","",IF(COUNTIF(B44:B47,B47)=1,B47,""))</f>
        <v/>
      </c>
    </row>
    <row r="48" ht="15" customHeight="1">
      <c r="A48" s="29" t="n"/>
      <c r="B48" s="14" t="n"/>
      <c r="C48" s="22" t="n"/>
      <c r="D48" s="24" t="n"/>
      <c r="E48" s="31">
        <f>IF(B48="","",COUNTIF($V$34:V48,B48))</f>
        <v/>
      </c>
      <c r="F48" s="41">
        <f>IF(V48="","",IF(E48&gt;=IF(N($C$29)&gt;0,$C$29,3),"Revient : appeler",IF(E48&gt;=2,"Déjà dans la liste","")))</f>
        <v/>
      </c>
      <c r="G48" s="14" t="n"/>
      <c r="H48" s="14" t="n"/>
      <c r="I48" s="14" t="n"/>
      <c r="V48" s="9">
        <f>IF(B48="","",IF(COUNTIF(B44:B48,B48)=1,B48,""))</f>
        <v/>
      </c>
    </row>
    <row r="49" ht="15" customHeight="1">
      <c r="A49" s="35">
        <f>IF($C$28="","",$C$28+21)</f>
        <v/>
      </c>
      <c r="B49" s="36" t="inlineStr">
        <is>
          <t>Client Echo</t>
        </is>
      </c>
      <c r="C49" s="37" t="n">
        <v>2200</v>
      </c>
      <c r="D49" s="38" t="n">
        <v>5</v>
      </c>
      <c r="E49" s="39">
        <f>IF(B49="","",COUNTIF($V$34:V49,B49))</f>
        <v/>
      </c>
      <c r="F49" s="40">
        <f>IF(V49="","",IF(E49&gt;=IF(N($C$29)&gt;0,$C$29,3),"Revient : appeler",IF(E49&gt;=2,"Déjà dans la liste","")))</f>
        <v/>
      </c>
      <c r="G49" s="36" t="n"/>
      <c r="H49" s="36" t="n"/>
      <c r="I49" s="36" t="n"/>
      <c r="V49" s="9">
        <f>IF(B49="","",IF(COUNTIF(B49:B49,B49)=1,B49,""))</f>
        <v/>
      </c>
    </row>
    <row r="50" ht="15" customHeight="1">
      <c r="A50" s="29" t="n"/>
      <c r="B50" s="14" t="n"/>
      <c r="C50" s="22" t="n"/>
      <c r="D50" s="24" t="n"/>
      <c r="E50" s="31">
        <f>IF(B50="","",COUNTIF($V$34:V50,B50))</f>
        <v/>
      </c>
      <c r="F50" s="41">
        <f>IF(V50="","",IF(E50&gt;=IF(N($C$29)&gt;0,$C$29,3),"Revient : appeler",IF(E50&gt;=2,"Déjà dans la liste","")))</f>
        <v/>
      </c>
      <c r="G50" s="14" t="n"/>
      <c r="H50" s="14" t="n"/>
      <c r="I50" s="14" t="n"/>
      <c r="V50" s="9">
        <f>IF(B50="","",IF(COUNTIF(B49:B50,B50)=1,B50,""))</f>
        <v/>
      </c>
    </row>
    <row r="51" ht="15" customHeight="1">
      <c r="A51" s="29" t="n"/>
      <c r="B51" s="14" t="n"/>
      <c r="C51" s="22" t="n"/>
      <c r="D51" s="24" t="n"/>
      <c r="E51" s="31">
        <f>IF(B51="","",COUNTIF($V$34:V51,B51))</f>
        <v/>
      </c>
      <c r="F51" s="41">
        <f>IF(V51="","",IF(E51&gt;=IF(N($C$29)&gt;0,$C$29,3),"Revient : appeler",IF(E51&gt;=2,"Déjà dans la liste","")))</f>
        <v/>
      </c>
      <c r="G51" s="14" t="n"/>
      <c r="H51" s="14" t="n"/>
      <c r="I51" s="14" t="n"/>
      <c r="V51" s="9">
        <f>IF(B51="","",IF(COUNTIF(B49:B51,B51)=1,B51,""))</f>
        <v/>
      </c>
    </row>
    <row r="52" ht="15" customHeight="1">
      <c r="A52" s="29" t="n"/>
      <c r="B52" s="14" t="n"/>
      <c r="C52" s="22" t="n"/>
      <c r="D52" s="24" t="n"/>
      <c r="E52" s="31">
        <f>IF(B52="","",COUNTIF($V$34:V52,B52))</f>
        <v/>
      </c>
      <c r="F52" s="41">
        <f>IF(V52="","",IF(E52&gt;=IF(N($C$29)&gt;0,$C$29,3),"Revient : appeler",IF(E52&gt;=2,"Déjà dans la liste","")))</f>
        <v/>
      </c>
      <c r="G52" s="14" t="n"/>
      <c r="H52" s="14" t="n"/>
      <c r="I52" s="14" t="n"/>
      <c r="V52" s="9">
        <f>IF(B52="","",IF(COUNTIF(B49:B52,B52)=1,B52,""))</f>
        <v/>
      </c>
    </row>
    <row r="53" ht="15" customHeight="1">
      <c r="A53" s="29" t="n"/>
      <c r="B53" s="14" t="n"/>
      <c r="C53" s="22" t="n"/>
      <c r="D53" s="24" t="n"/>
      <c r="E53" s="31">
        <f>IF(B53="","",COUNTIF($V$34:V53,B53))</f>
        <v/>
      </c>
      <c r="F53" s="41">
        <f>IF(V53="","",IF(E53&gt;=IF(N($C$29)&gt;0,$C$29,3),"Revient : appeler",IF(E53&gt;=2,"Déjà dans la liste","")))</f>
        <v/>
      </c>
      <c r="G53" s="14" t="n"/>
      <c r="H53" s="14" t="n"/>
      <c r="I53" s="14" t="n"/>
      <c r="V53" s="9">
        <f>IF(B53="","",IF(COUNTIF(B49:B53,B53)=1,B53,""))</f>
        <v/>
      </c>
    </row>
    <row r="54" ht="15" customHeight="1">
      <c r="A54" s="35">
        <f>IF($C$28="","",$C$28+28)</f>
        <v/>
      </c>
      <c r="B54" s="36" t="inlineStr">
        <is>
          <t>Client Delta</t>
        </is>
      </c>
      <c r="C54" s="37" t="n">
        <v>18400</v>
      </c>
      <c r="D54" s="38" t="n">
        <v>3</v>
      </c>
      <c r="E54" s="39">
        <f>IF(B54="","",COUNTIF($V$34:V54,B54))</f>
        <v/>
      </c>
      <c r="F54" s="40">
        <f>IF(V54="","",IF(E54&gt;=IF(N($C$29)&gt;0,$C$29,3),"Revient : appeler",IF(E54&gt;=2,"Déjà dans la liste","")))</f>
        <v/>
      </c>
      <c r="G54" s="36" t="n"/>
      <c r="H54" s="36" t="n"/>
      <c r="I54" s="36" t="n"/>
      <c r="V54" s="9">
        <f>IF(B54="","",IF(COUNTIF(B54:B54,B54)=1,B54,""))</f>
        <v/>
      </c>
    </row>
    <row r="55" ht="15" customHeight="1">
      <c r="A55" s="29" t="n"/>
      <c r="B55" s="14" t="inlineStr">
        <is>
          <t>Client Bravo</t>
        </is>
      </c>
      <c r="C55" s="22" t="n">
        <v>12600</v>
      </c>
      <c r="D55" s="24" t="n">
        <v>3</v>
      </c>
      <c r="E55" s="31">
        <f>IF(B55="","",COUNTIF($V$34:V55,B55))</f>
        <v/>
      </c>
      <c r="F55" s="41">
        <f>IF(V55="","",IF(E55&gt;=IF(N($C$29)&gt;0,$C$29,3),"Revient : appeler",IF(E55&gt;=2,"Déjà dans la liste","")))</f>
        <v/>
      </c>
      <c r="G55" s="14" t="inlineStr">
        <is>
          <t>Appel du dirigeant mardi.</t>
        </is>
      </c>
      <c r="H55" s="14" t="n"/>
      <c r="I55" s="14" t="n"/>
      <c r="V55" s="9">
        <f>IF(B55="","",IF(COUNTIF(B54:B55,B55)=1,B55,""))</f>
        <v/>
      </c>
    </row>
    <row r="56" ht="15" customHeight="1">
      <c r="A56" s="29" t="n"/>
      <c r="B56" s="14" t="inlineStr">
        <is>
          <t>Client Echo</t>
        </is>
      </c>
      <c r="C56" s="22" t="n">
        <v>2200</v>
      </c>
      <c r="D56" s="24" t="n">
        <v>12</v>
      </c>
      <c r="E56" s="31">
        <f>IF(B56="","",COUNTIF($V$34:V56,B56))</f>
        <v/>
      </c>
      <c r="F56" s="41">
        <f>IF(V56="","",IF(E56&gt;=IF(N($C$29)&gt;0,$C$29,3),"Revient : appeler",IF(E56&gt;=2,"Déjà dans la liste","")))</f>
        <v/>
      </c>
      <c r="G56" s="14" t="n"/>
      <c r="H56" s="14" t="n"/>
      <c r="I56" s="14" t="n"/>
      <c r="V56" s="9">
        <f>IF(B56="","",IF(COUNTIF(B54:B56,B56)=1,B56,""))</f>
        <v/>
      </c>
    </row>
    <row r="57" ht="15" customHeight="1">
      <c r="A57" s="29" t="n"/>
      <c r="B57" s="14" t="n"/>
      <c r="C57" s="22" t="n"/>
      <c r="D57" s="24" t="n"/>
      <c r="E57" s="31">
        <f>IF(B57="","",COUNTIF($V$34:V57,B57))</f>
        <v/>
      </c>
      <c r="F57" s="41">
        <f>IF(V57="","",IF(E57&gt;=IF(N($C$29)&gt;0,$C$29,3),"Revient : appeler",IF(E57&gt;=2,"Déjà dans la liste","")))</f>
        <v/>
      </c>
      <c r="G57" s="14" t="n"/>
      <c r="H57" s="14" t="n"/>
      <c r="I57" s="14" t="n"/>
      <c r="V57" s="9">
        <f>IF(B57="","",IF(COUNTIF(B54:B57,B57)=1,B57,""))</f>
        <v/>
      </c>
    </row>
    <row r="58" ht="15" customHeight="1">
      <c r="A58" s="29" t="n"/>
      <c r="B58" s="14" t="n"/>
      <c r="C58" s="22" t="n"/>
      <c r="D58" s="24" t="n"/>
      <c r="E58" s="31">
        <f>IF(B58="","",COUNTIF($V$34:V58,B58))</f>
        <v/>
      </c>
      <c r="F58" s="41">
        <f>IF(V58="","",IF(E58&gt;=IF(N($C$29)&gt;0,$C$29,3),"Revient : appeler",IF(E58&gt;=2,"Déjà dans la liste","")))</f>
        <v/>
      </c>
      <c r="G58" s="14" t="n"/>
      <c r="H58" s="14" t="n"/>
      <c r="I58" s="14" t="n"/>
      <c r="V58" s="9">
        <f>IF(B58="","",IF(COUNTIF(B54:B58,B58)=1,B58,""))</f>
        <v/>
      </c>
    </row>
    <row r="59" ht="15" customHeight="1">
      <c r="A59" s="35">
        <f>IF($C$28="","",$C$28+35)</f>
        <v/>
      </c>
      <c r="B59" s="36" t="inlineStr">
        <is>
          <t>Client Delta</t>
        </is>
      </c>
      <c r="C59" s="37" t="n">
        <v>18400</v>
      </c>
      <c r="D59" s="38" t="n">
        <v>10</v>
      </c>
      <c r="E59" s="39">
        <f>IF(B59="","",COUNTIF($V$34:V59,B59))</f>
        <v/>
      </c>
      <c r="F59" s="40">
        <f>IF(V59="","",IF(E59&gt;=IF(N($C$29)&gt;0,$C$29,3),"Revient : appeler",IF(E59&gt;=2,"Déjà dans la liste","")))</f>
        <v/>
      </c>
      <c r="G59" s="36" t="n"/>
      <c r="H59" s="36" t="n"/>
      <c r="I59" s="36" t="n"/>
      <c r="V59" s="9">
        <f>IF(B59="","",IF(COUNTIF(B59:B59,B59)=1,B59,""))</f>
        <v/>
      </c>
    </row>
    <row r="60" ht="15" customHeight="1">
      <c r="A60" s="29" t="n"/>
      <c r="B60" s="14" t="inlineStr">
        <is>
          <t>Client Bravo</t>
        </is>
      </c>
      <c r="C60" s="22" t="n">
        <v>12600</v>
      </c>
      <c r="D60" s="24" t="n">
        <v>10</v>
      </c>
      <c r="E60" s="31">
        <f>IF(B60="","",COUNTIF($V$34:V60,B60))</f>
        <v/>
      </c>
      <c r="F60" s="41">
        <f>IF(V60="","",IF(E60&gt;=IF(N($C$29)&gt;0,$C$29,3),"Revient : appeler",IF(E60&gt;=2,"Déjà dans la liste","")))</f>
        <v/>
      </c>
      <c r="G60" s="14" t="n"/>
      <c r="H60" s="14" t="n"/>
      <c r="I60" s="14" t="n"/>
      <c r="V60" s="9">
        <f>IF(B60="","",IF(COUNTIF(B59:B60,B60)=1,B60,""))</f>
        <v/>
      </c>
    </row>
    <row r="61" ht="15" customHeight="1">
      <c r="A61" s="29" t="n"/>
      <c r="B61" s="14" t="n"/>
      <c r="C61" s="22" t="n"/>
      <c r="D61" s="24" t="n"/>
      <c r="E61" s="31">
        <f>IF(B61="","",COUNTIF($V$34:V61,B61))</f>
        <v/>
      </c>
      <c r="F61" s="41">
        <f>IF(V61="","",IF(E61&gt;=IF(N($C$29)&gt;0,$C$29,3),"Revient : appeler",IF(E61&gt;=2,"Déjà dans la liste","")))</f>
        <v/>
      </c>
      <c r="G61" s="14" t="n"/>
      <c r="H61" s="14" t="n"/>
      <c r="I61" s="14" t="n"/>
      <c r="V61" s="9">
        <f>IF(B61="","",IF(COUNTIF(B59:B61,B61)=1,B61,""))</f>
        <v/>
      </c>
    </row>
    <row r="62" ht="15" customHeight="1">
      <c r="A62" s="29" t="n"/>
      <c r="B62" s="14" t="n"/>
      <c r="C62" s="22" t="n"/>
      <c r="D62" s="24" t="n"/>
      <c r="E62" s="31">
        <f>IF(B62="","",COUNTIF($V$34:V62,B62))</f>
        <v/>
      </c>
      <c r="F62" s="41">
        <f>IF(V62="","",IF(E62&gt;=IF(N($C$29)&gt;0,$C$29,3),"Revient : appeler",IF(E62&gt;=2,"Déjà dans la liste","")))</f>
        <v/>
      </c>
      <c r="G62" s="14" t="n"/>
      <c r="H62" s="14" t="n"/>
      <c r="I62" s="14" t="n"/>
      <c r="V62" s="9">
        <f>IF(B62="","",IF(COUNTIF(B59:B62,B62)=1,B62,""))</f>
        <v/>
      </c>
    </row>
    <row r="63" ht="15" customHeight="1">
      <c r="A63" s="29" t="n"/>
      <c r="B63" s="14" t="n"/>
      <c r="C63" s="22" t="n"/>
      <c r="D63" s="24" t="n"/>
      <c r="E63" s="31">
        <f>IF(B63="","",COUNTIF($V$34:V63,B63))</f>
        <v/>
      </c>
      <c r="F63" s="41">
        <f>IF(V63="","",IF(E63&gt;=IF(N($C$29)&gt;0,$C$29,3),"Revient : appeler",IF(E63&gt;=2,"Déjà dans la liste","")))</f>
        <v/>
      </c>
      <c r="G63" s="14" t="n"/>
      <c r="H63" s="14" t="n"/>
      <c r="I63" s="14" t="n"/>
      <c r="V63" s="9">
        <f>IF(B63="","",IF(COUNTIF(B59:B63,B63)=1,B63,""))</f>
        <v/>
      </c>
    </row>
    <row r="64" ht="15" customHeight="1">
      <c r="A64" s="35">
        <f>IF($C$28="","",$C$28+42)</f>
        <v/>
      </c>
      <c r="B64" s="36" t="inlineStr">
        <is>
          <t>Client Delta</t>
        </is>
      </c>
      <c r="C64" s="37" t="n">
        <v>18400</v>
      </c>
      <c r="D64" s="38" t="n">
        <v>17</v>
      </c>
      <c r="E64" s="39">
        <f>IF(B64="","",COUNTIF($V$34:V64,B64))</f>
        <v/>
      </c>
      <c r="F64" s="40">
        <f>IF(V64="","",IF(E64&gt;=IF(N($C$29)&gt;0,$C$29,3),"Revient : appeler",IF(E64&gt;=2,"Déjà dans la liste","")))</f>
        <v/>
      </c>
      <c r="G64" s="36" t="inlineStr">
        <is>
          <t>Relance écrite envoyée le 14/08.</t>
        </is>
      </c>
      <c r="H64" s="36" t="n"/>
      <c r="I64" s="36" t="n"/>
      <c r="V64" s="9">
        <f>IF(B64="","",IF(COUNTIF(B64:B64,B64)=1,B64,""))</f>
        <v/>
      </c>
    </row>
    <row r="65" ht="15" customHeight="1">
      <c r="A65" s="29" t="n"/>
      <c r="B65" s="14" t="inlineStr">
        <is>
          <t>Client Bravo</t>
        </is>
      </c>
      <c r="C65" s="22" t="n">
        <v>12600</v>
      </c>
      <c r="D65" s="24" t="n">
        <v>17</v>
      </c>
      <c r="E65" s="31">
        <f>IF(B65="","",COUNTIF($V$34:V65,B65))</f>
        <v/>
      </c>
      <c r="F65" s="41">
        <f>IF(V65="","",IF(E65&gt;=IF(N($C$29)&gt;0,$C$29,3),"Revient : appeler",IF(E65&gt;=2,"Déjà dans la liste","")))</f>
        <v/>
      </c>
      <c r="G65" s="14" t="n"/>
      <c r="H65" s="14" t="n"/>
      <c r="I65" s="14" t="n"/>
      <c r="V65" s="9">
        <f>IF(B65="","",IF(COUNTIF(B64:B65,B65)=1,B65,""))</f>
        <v/>
      </c>
    </row>
    <row r="66" ht="15" customHeight="1">
      <c r="A66" s="29" t="n"/>
      <c r="B66" s="14" t="n"/>
      <c r="C66" s="22" t="n"/>
      <c r="D66" s="24" t="n"/>
      <c r="E66" s="31">
        <f>IF(B66="","",COUNTIF($V$34:V66,B66))</f>
        <v/>
      </c>
      <c r="F66" s="41">
        <f>IF(V66="","",IF(E66&gt;=IF(N($C$29)&gt;0,$C$29,3),"Revient : appeler",IF(E66&gt;=2,"Déjà dans la liste","")))</f>
        <v/>
      </c>
      <c r="G66" s="14" t="n"/>
      <c r="H66" s="14" t="n"/>
      <c r="I66" s="14" t="n"/>
      <c r="V66" s="9">
        <f>IF(B66="","",IF(COUNTIF(B64:B66,B66)=1,B66,""))</f>
        <v/>
      </c>
    </row>
    <row r="67" ht="15" customHeight="1">
      <c r="A67" s="29" t="n"/>
      <c r="B67" s="14" t="n"/>
      <c r="C67" s="22" t="n"/>
      <c r="D67" s="24" t="n"/>
      <c r="E67" s="31">
        <f>IF(B67="","",COUNTIF($V$34:V67,B67))</f>
        <v/>
      </c>
      <c r="F67" s="41">
        <f>IF(V67="","",IF(E67&gt;=IF(N($C$29)&gt;0,$C$29,3),"Revient : appeler",IF(E67&gt;=2,"Déjà dans la liste","")))</f>
        <v/>
      </c>
      <c r="G67" s="14" t="n"/>
      <c r="H67" s="14" t="n"/>
      <c r="I67" s="14" t="n"/>
      <c r="V67" s="9">
        <f>IF(B67="","",IF(COUNTIF(B64:B67,B67)=1,B67,""))</f>
        <v/>
      </c>
    </row>
    <row r="68" ht="15" customHeight="1">
      <c r="A68" s="29" t="n"/>
      <c r="B68" s="14" t="n"/>
      <c r="C68" s="22" t="n"/>
      <c r="D68" s="24" t="n"/>
      <c r="E68" s="31">
        <f>IF(B68="","",COUNTIF($V$34:V68,B68))</f>
        <v/>
      </c>
      <c r="F68" s="41">
        <f>IF(V68="","",IF(E68&gt;=IF(N($C$29)&gt;0,$C$29,3),"Revient : appeler",IF(E68&gt;=2,"Déjà dans la liste","")))</f>
        <v/>
      </c>
      <c r="G68" s="14" t="n"/>
      <c r="H68" s="14" t="n"/>
      <c r="I68" s="14" t="n"/>
      <c r="V68" s="9">
        <f>IF(B68="","",IF(COUNTIF(B64:B68,B68)=1,B68,""))</f>
        <v/>
      </c>
    </row>
    <row r="69" ht="15" customHeight="1">
      <c r="A69" s="35">
        <f>IF($C$28="","",$C$28+49)</f>
        <v/>
      </c>
      <c r="B69" s="36" t="inlineStr">
        <is>
          <t>Client Delta</t>
        </is>
      </c>
      <c r="C69" s="37" t="n">
        <v>18400</v>
      </c>
      <c r="D69" s="38" t="n">
        <v>24</v>
      </c>
      <c r="E69" s="39">
        <f>IF(B69="","",COUNTIF($V$34:V69,B69))</f>
        <v/>
      </c>
      <c r="F69" s="40">
        <f>IF(V69="","",IF(E69&gt;=IF(N($C$29)&gt;0,$C$29,3),"Revient : appeler",IF(E69&gt;=2,"Déjà dans la liste","")))</f>
        <v/>
      </c>
      <c r="G69" s="36" t="n"/>
      <c r="H69" s="36" t="n"/>
      <c r="I69" s="36" t="n"/>
      <c r="V69" s="9">
        <f>IF(B69="","",IF(COUNTIF(B69:B69,B69)=1,B69,""))</f>
        <v/>
      </c>
    </row>
    <row r="70" ht="15" customHeight="1">
      <c r="A70" s="29" t="n"/>
      <c r="B70" s="14" t="inlineStr">
        <is>
          <t>Client Charlie</t>
        </is>
      </c>
      <c r="C70" s="22" t="n">
        <v>3100</v>
      </c>
      <c r="D70" s="24" t="n">
        <v>9</v>
      </c>
      <c r="E70" s="31">
        <f>IF(B70="","",COUNTIF($V$34:V70,B70))</f>
        <v/>
      </c>
      <c r="F70" s="41">
        <f>IF(V70="","",IF(E70&gt;=IF(N($C$29)&gt;0,$C$29,3),"Revient : appeler",IF(E70&gt;=2,"Déjà dans la liste","")))</f>
        <v/>
      </c>
      <c r="G70" s="14" t="n"/>
      <c r="H70" s="14" t="n"/>
      <c r="I70" s="14" t="n"/>
      <c r="V70" s="9">
        <f>IF(B70="","",IF(COUNTIF(B69:B70,B70)=1,B70,""))</f>
        <v/>
      </c>
    </row>
    <row r="71" ht="15" customHeight="1">
      <c r="A71" s="29" t="n"/>
      <c r="B71" s="14" t="n"/>
      <c r="C71" s="22" t="n"/>
      <c r="D71" s="24" t="n"/>
      <c r="E71" s="31">
        <f>IF(B71="","",COUNTIF($V$34:V71,B71))</f>
        <v/>
      </c>
      <c r="F71" s="41">
        <f>IF(V71="","",IF(E71&gt;=IF(N($C$29)&gt;0,$C$29,3),"Revient : appeler",IF(E71&gt;=2,"Déjà dans la liste","")))</f>
        <v/>
      </c>
      <c r="G71" s="14" t="n"/>
      <c r="H71" s="14" t="n"/>
      <c r="I71" s="14" t="n"/>
      <c r="V71" s="9">
        <f>IF(B71="","",IF(COUNTIF(B69:B71,B71)=1,B71,""))</f>
        <v/>
      </c>
    </row>
    <row r="72" ht="15" customHeight="1">
      <c r="A72" s="29" t="n"/>
      <c r="B72" s="14" t="n"/>
      <c r="C72" s="22" t="n"/>
      <c r="D72" s="24" t="n"/>
      <c r="E72" s="31">
        <f>IF(B72="","",COUNTIF($V$34:V72,B72))</f>
        <v/>
      </c>
      <c r="F72" s="41">
        <f>IF(V72="","",IF(E72&gt;=IF(N($C$29)&gt;0,$C$29,3),"Revient : appeler",IF(E72&gt;=2,"Déjà dans la liste","")))</f>
        <v/>
      </c>
      <c r="G72" s="14" t="n"/>
      <c r="H72" s="14" t="n"/>
      <c r="I72" s="14" t="n"/>
      <c r="V72" s="9">
        <f>IF(B72="","",IF(COUNTIF(B69:B72,B72)=1,B72,""))</f>
        <v/>
      </c>
    </row>
    <row r="73" ht="15" customHeight="1">
      <c r="A73" s="29" t="n"/>
      <c r="B73" s="14" t="n"/>
      <c r="C73" s="22" t="n"/>
      <c r="D73" s="24" t="n"/>
      <c r="E73" s="31">
        <f>IF(B73="","",COUNTIF($V$34:V73,B73))</f>
        <v/>
      </c>
      <c r="F73" s="41">
        <f>IF(V73="","",IF(E73&gt;=IF(N($C$29)&gt;0,$C$29,3),"Revient : appeler",IF(E73&gt;=2,"Déjà dans la liste","")))</f>
        <v/>
      </c>
      <c r="G73" s="14" t="n"/>
      <c r="H73" s="14" t="n"/>
      <c r="I73" s="14" t="n"/>
      <c r="V73" s="9">
        <f>IF(B73="","",IF(COUNTIF(B69:B73,B73)=1,B73,""))</f>
        <v/>
      </c>
    </row>
    <row r="74" ht="15" customHeight="1">
      <c r="A74" s="35">
        <f>IF($C$28="","",$C$28+56)</f>
        <v/>
      </c>
      <c r="B74" s="36" t="inlineStr">
        <is>
          <t>Client Delta</t>
        </is>
      </c>
      <c r="C74" s="37" t="n">
        <v>18400</v>
      </c>
      <c r="D74" s="38" t="n">
        <v>31</v>
      </c>
      <c r="E74" s="39">
        <f>IF(B74="","",COUNTIF($V$34:V74,B74))</f>
        <v/>
      </c>
      <c r="F74" s="40">
        <f>IF(V74="","",IF(E74&gt;=IF(N($C$29)&gt;0,$C$29,3),"Revient : appeler",IF(E74&gt;=2,"Déjà dans la liste","")))</f>
        <v/>
      </c>
      <c r="G74" s="36" t="n"/>
      <c r="H74" s="36" t="n"/>
      <c r="I74" s="36" t="n"/>
      <c r="V74" s="9">
        <f>IF(B74="","",IF(COUNTIF(B74:B74,B74)=1,B74,""))</f>
        <v/>
      </c>
    </row>
    <row r="75" ht="15" customHeight="1">
      <c r="A75" s="29" t="n"/>
      <c r="B75" s="14" t="inlineStr">
        <is>
          <t>Client Charlie</t>
        </is>
      </c>
      <c r="C75" s="22" t="n">
        <v>3100</v>
      </c>
      <c r="D75" s="24" t="n">
        <v>16</v>
      </c>
      <c r="E75" s="31">
        <f>IF(B75="","",COUNTIF($V$34:V75,B75))</f>
        <v/>
      </c>
      <c r="F75" s="41">
        <f>IF(V75="","",IF(E75&gt;=IF(N($C$29)&gt;0,$C$29,3),"Revient : appeler",IF(E75&gt;=2,"Déjà dans la liste","")))</f>
        <v/>
      </c>
      <c r="G75" s="14" t="n"/>
      <c r="H75" s="14" t="n"/>
      <c r="I75" s="14" t="n"/>
      <c r="V75" s="9">
        <f>IF(B75="","",IF(COUNTIF(B74:B75,B75)=1,B75,""))</f>
        <v/>
      </c>
    </row>
    <row r="76" ht="15" customHeight="1">
      <c r="A76" s="29" t="n"/>
      <c r="B76" s="14" t="n"/>
      <c r="C76" s="22" t="n"/>
      <c r="D76" s="24" t="n"/>
      <c r="E76" s="31">
        <f>IF(B76="","",COUNTIF($V$34:V76,B76))</f>
        <v/>
      </c>
      <c r="F76" s="41">
        <f>IF(V76="","",IF(E76&gt;=IF(N($C$29)&gt;0,$C$29,3),"Revient : appeler",IF(E76&gt;=2,"Déjà dans la liste","")))</f>
        <v/>
      </c>
      <c r="G76" s="14" t="n"/>
      <c r="H76" s="14" t="n"/>
      <c r="I76" s="14" t="n"/>
      <c r="V76" s="9">
        <f>IF(B76="","",IF(COUNTIF(B74:B76,B76)=1,B76,""))</f>
        <v/>
      </c>
    </row>
    <row r="77" ht="15" customHeight="1">
      <c r="A77" s="29" t="n"/>
      <c r="B77" s="14" t="n"/>
      <c r="C77" s="22" t="n"/>
      <c r="D77" s="24" t="n"/>
      <c r="E77" s="31">
        <f>IF(B77="","",COUNTIF($V$34:V77,B77))</f>
        <v/>
      </c>
      <c r="F77" s="41">
        <f>IF(V77="","",IF(E77&gt;=IF(N($C$29)&gt;0,$C$29,3),"Revient : appeler",IF(E77&gt;=2,"Déjà dans la liste","")))</f>
        <v/>
      </c>
      <c r="G77" s="14" t="n"/>
      <c r="H77" s="14" t="n"/>
      <c r="I77" s="14" t="n"/>
      <c r="V77" s="9">
        <f>IF(B77="","",IF(COUNTIF(B74:B77,B77)=1,B77,""))</f>
        <v/>
      </c>
    </row>
    <row r="78" ht="15" customHeight="1">
      <c r="A78" s="29" t="n"/>
      <c r="B78" s="14" t="n"/>
      <c r="C78" s="22" t="n"/>
      <c r="D78" s="24" t="n"/>
      <c r="E78" s="31">
        <f>IF(B78="","",COUNTIF($V$34:V78,B78))</f>
        <v/>
      </c>
      <c r="F78" s="41">
        <f>IF(V78="","",IF(E78&gt;=IF(N($C$29)&gt;0,$C$29,3),"Revient : appeler",IF(E78&gt;=2,"Déjà dans la liste","")))</f>
        <v/>
      </c>
      <c r="G78" s="14" t="n"/>
      <c r="H78" s="14" t="n"/>
      <c r="I78" s="14" t="n"/>
      <c r="V78" s="9">
        <f>IF(B78="","",IF(COUNTIF(B74:B78,B78)=1,B78,""))</f>
        <v/>
      </c>
    </row>
    <row r="79" ht="15" customHeight="1">
      <c r="A79" s="35">
        <f>IF($C$28="","",$C$28+63)</f>
        <v/>
      </c>
      <c r="B79" s="36" t="inlineStr">
        <is>
          <t>Client Delta</t>
        </is>
      </c>
      <c r="C79" s="37" t="n">
        <v>18400</v>
      </c>
      <c r="D79" s="38" t="n">
        <v>38</v>
      </c>
      <c r="E79" s="39">
        <f>IF(B79="","",COUNTIF($V$34:V79,B79))</f>
        <v/>
      </c>
      <c r="F79" s="40">
        <f>IF(V79="","",IF(E79&gt;=IF(N($C$29)&gt;0,$C$29,3),"Revient : appeler",IF(E79&gt;=2,"Déjà dans la liste","")))</f>
        <v/>
      </c>
      <c r="G79" s="36" t="n"/>
      <c r="H79" s="36" t="n"/>
      <c r="I79" s="36" t="n"/>
      <c r="V79" s="9">
        <f>IF(B79="","",IF(COUNTIF(B79:B79,B79)=1,B79,""))</f>
        <v/>
      </c>
    </row>
    <row r="80" ht="15" customHeight="1">
      <c r="A80" s="29" t="n"/>
      <c r="B80" s="14" t="inlineStr">
        <is>
          <t>Client Bravo</t>
        </is>
      </c>
      <c r="C80" s="22" t="n">
        <v>9300</v>
      </c>
      <c r="D80" s="24" t="n">
        <v>7</v>
      </c>
      <c r="E80" s="31">
        <f>IF(B80="","",COUNTIF($V$34:V80,B80))</f>
        <v/>
      </c>
      <c r="F80" s="41">
        <f>IF(V80="","",IF(E80&gt;=IF(N($C$29)&gt;0,$C$29,3),"Revient : appeler",IF(E80&gt;=2,"Déjà dans la liste","")))</f>
        <v/>
      </c>
      <c r="G80" s="14" t="n"/>
      <c r="H80" s="14" t="n"/>
      <c r="I80" s="14" t="n"/>
      <c r="V80" s="9">
        <f>IF(B80="","",IF(COUNTIF(B79:B80,B80)=1,B80,""))</f>
        <v/>
      </c>
    </row>
    <row r="81" ht="15" customHeight="1">
      <c r="A81" s="29" t="n"/>
      <c r="B81" s="14" t="inlineStr">
        <is>
          <t>Client Delta</t>
        </is>
      </c>
      <c r="C81" s="22" t="n">
        <v>6700</v>
      </c>
      <c r="D81" s="24" t="n">
        <v>7</v>
      </c>
      <c r="E81" s="31">
        <f>IF(B81="","",COUNTIF($V$34:V81,B81))</f>
        <v/>
      </c>
      <c r="F81" s="41">
        <f>IF(V81="","",IF(E81&gt;=IF(N($C$29)&gt;0,$C$29,3),"Revient : appeler",IF(E81&gt;=2,"Déjà dans la liste","")))</f>
        <v/>
      </c>
      <c r="G81" s="14" t="n"/>
      <c r="H81" s="14" t="n"/>
      <c r="I81" s="14" t="n"/>
      <c r="V81" s="9">
        <f>IF(B81="","",IF(COUNTIF(B79:B81,B81)=1,B81,""))</f>
        <v/>
      </c>
    </row>
    <row r="82" ht="15" customHeight="1">
      <c r="A82" s="29" t="n"/>
      <c r="B82" s="14" t="n"/>
      <c r="C82" s="22" t="n"/>
      <c r="D82" s="24" t="n"/>
      <c r="E82" s="31">
        <f>IF(B82="","",COUNTIF($V$34:V82,B82))</f>
        <v/>
      </c>
      <c r="F82" s="41">
        <f>IF(V82="","",IF(E82&gt;=IF(N($C$29)&gt;0,$C$29,3),"Revient : appeler",IF(E82&gt;=2,"Déjà dans la liste","")))</f>
        <v/>
      </c>
      <c r="G82" s="14" t="n"/>
      <c r="H82" s="14" t="n"/>
      <c r="I82" s="14" t="n"/>
      <c r="V82" s="9">
        <f>IF(B82="","",IF(COUNTIF(B79:B82,B82)=1,B82,""))</f>
        <v/>
      </c>
    </row>
    <row r="83" ht="15" customHeight="1">
      <c r="A83" s="29" t="n"/>
      <c r="B83" s="14" t="n"/>
      <c r="C83" s="22" t="n"/>
      <c r="D83" s="24" t="n"/>
      <c r="E83" s="31">
        <f>IF(B83="","",COUNTIF($V$34:V83,B83))</f>
        <v/>
      </c>
      <c r="F83" s="41">
        <f>IF(V83="","",IF(E83&gt;=IF(N($C$29)&gt;0,$C$29,3),"Revient : appeler",IF(E83&gt;=2,"Déjà dans la liste","")))</f>
        <v/>
      </c>
      <c r="G83" s="14" t="n"/>
      <c r="H83" s="14" t="n"/>
      <c r="I83" s="14" t="n"/>
      <c r="V83" s="9">
        <f>IF(B83="","",IF(COUNTIF(B79:B83,B83)=1,B83,""))</f>
        <v/>
      </c>
    </row>
    <row r="84" ht="15" customHeight="1">
      <c r="A84" s="35">
        <f>IF($C$28="","",$C$28+70)</f>
        <v/>
      </c>
      <c r="B84" s="36" t="inlineStr">
        <is>
          <t>Client Delta</t>
        </is>
      </c>
      <c r="C84" s="37" t="n">
        <v>18400</v>
      </c>
      <c r="D84" s="38" t="n">
        <v>45</v>
      </c>
      <c r="E84" s="39">
        <f>IF(B84="","",COUNTIF($V$34:V84,B84))</f>
        <v/>
      </c>
      <c r="F84" s="40">
        <f>IF(V84="","",IF(E84&gt;=IF(N($C$29)&gt;0,$C$29,3),"Revient : appeler",IF(E84&gt;=2,"Déjà dans la liste","")))</f>
        <v/>
      </c>
      <c r="G84" s="36" t="n"/>
      <c r="H84" s="36" t="n"/>
      <c r="I84" s="36" t="n"/>
      <c r="V84" s="9">
        <f>IF(B84="","",IF(COUNTIF(B84:B84,B84)=1,B84,""))</f>
        <v/>
      </c>
    </row>
    <row r="85" ht="15" customHeight="1">
      <c r="A85" s="29" t="n"/>
      <c r="B85" s="14" t="inlineStr">
        <is>
          <t>Client Bravo</t>
        </is>
      </c>
      <c r="C85" s="22" t="n">
        <v>9300</v>
      </c>
      <c r="D85" s="24" t="n">
        <v>14</v>
      </c>
      <c r="E85" s="31">
        <f>IF(B85="","",COUNTIF($V$34:V85,B85))</f>
        <v/>
      </c>
      <c r="F85" s="41">
        <f>IF(V85="","",IF(E85&gt;=IF(N($C$29)&gt;0,$C$29,3),"Revient : appeler",IF(E85&gt;=2,"Déjà dans la liste","")))</f>
        <v/>
      </c>
      <c r="G85" s="14" t="n"/>
      <c r="H85" s="14" t="n"/>
      <c r="I85" s="14" t="n"/>
      <c r="V85" s="9">
        <f>IF(B85="","",IF(COUNTIF(B84:B85,B85)=1,B85,""))</f>
        <v/>
      </c>
    </row>
    <row r="86" ht="15" customHeight="1">
      <c r="A86" s="29" t="n"/>
      <c r="B86" s="14" t="inlineStr">
        <is>
          <t>Client Delta</t>
        </is>
      </c>
      <c r="C86" s="22" t="n">
        <v>6700</v>
      </c>
      <c r="D86" s="24" t="n">
        <v>14</v>
      </c>
      <c r="E86" s="31">
        <f>IF(B86="","",COUNTIF($V$34:V86,B86))</f>
        <v/>
      </c>
      <c r="F86" s="41">
        <f>IF(V86="","",IF(E86&gt;=IF(N($C$29)&gt;0,$C$29,3),"Revient : appeler",IF(E86&gt;=2,"Déjà dans la liste","")))</f>
        <v/>
      </c>
      <c r="G86" s="14" t="n"/>
      <c r="H86" s="14" t="n"/>
      <c r="I86" s="14" t="n"/>
      <c r="V86" s="9">
        <f>IF(B86="","",IF(COUNTIF(B84:B86,B86)=1,B86,""))</f>
        <v/>
      </c>
    </row>
    <row r="87" ht="15" customHeight="1">
      <c r="A87" s="29" t="n"/>
      <c r="B87" s="14" t="inlineStr">
        <is>
          <t>Client Alpha</t>
        </is>
      </c>
      <c r="C87" s="22" t="n">
        <v>5400</v>
      </c>
      <c r="D87" s="24" t="n">
        <v>4</v>
      </c>
      <c r="E87" s="31">
        <f>IF(B87="","",COUNTIF($V$34:V87,B87))</f>
        <v/>
      </c>
      <c r="F87" s="41">
        <f>IF(V87="","",IF(E87&gt;=IF(N($C$29)&gt;0,$C$29,3),"Revient : appeler",IF(E87&gt;=2,"Déjà dans la liste","")))</f>
        <v/>
      </c>
      <c r="G87" s="14" t="n"/>
      <c r="H87" s="14" t="n"/>
      <c r="I87" s="14" t="n"/>
      <c r="V87" s="9">
        <f>IF(B87="","",IF(COUNTIF(B84:B87,B87)=1,B87,""))</f>
        <v/>
      </c>
    </row>
    <row r="88" ht="15" customHeight="1">
      <c r="A88" s="29" t="n"/>
      <c r="B88" s="14" t="n"/>
      <c r="C88" s="22" t="n"/>
      <c r="D88" s="24" t="n"/>
      <c r="E88" s="31">
        <f>IF(B88="","",COUNTIF($V$34:V88,B88))</f>
        <v/>
      </c>
      <c r="F88" s="41">
        <f>IF(V88="","",IF(E88&gt;=IF(N($C$29)&gt;0,$C$29,3),"Revient : appeler",IF(E88&gt;=2,"Déjà dans la liste","")))</f>
        <v/>
      </c>
      <c r="G88" s="14" t="n"/>
      <c r="H88" s="14" t="n"/>
      <c r="I88" s="14" t="n"/>
      <c r="V88" s="9">
        <f>IF(B88="","",IF(COUNTIF(B84:B88,B88)=1,B88,""))</f>
        <v/>
      </c>
    </row>
    <row r="89" ht="15" customHeight="1">
      <c r="A89" s="35">
        <f>IF($C$28="","",$C$28+77)</f>
        <v/>
      </c>
      <c r="B89" s="36" t="inlineStr">
        <is>
          <t>Client Delta</t>
        </is>
      </c>
      <c r="C89" s="37" t="n">
        <v>18400</v>
      </c>
      <c r="D89" s="38" t="n">
        <v>52</v>
      </c>
      <c r="E89" s="39">
        <f>IF(B89="","",COUNTIF($V$34:V89,B89))</f>
        <v/>
      </c>
      <c r="F89" s="40">
        <f>IF(V89="","",IF(E89&gt;=IF(N($C$29)&gt;0,$C$29,3),"Revient : appeler",IF(E89&gt;=2,"Déjà dans la liste","")))</f>
        <v/>
      </c>
      <c r="G89" s="36" t="inlineStr">
        <is>
          <t>Mise en demeure à préparer avec l’avocat.</t>
        </is>
      </c>
      <c r="H89" s="36" t="n"/>
      <c r="I89" s="36" t="n"/>
      <c r="V89" s="9">
        <f>IF(B89="","",IF(COUNTIF(B89:B89,B89)=1,B89,""))</f>
        <v/>
      </c>
    </row>
    <row r="90" ht="15" customHeight="1">
      <c r="A90" s="29" t="n"/>
      <c r="B90" s="14" t="inlineStr">
        <is>
          <t>Client Bravo</t>
        </is>
      </c>
      <c r="C90" s="22" t="n">
        <v>9300</v>
      </c>
      <c r="D90" s="24" t="n">
        <v>21</v>
      </c>
      <c r="E90" s="31">
        <f>IF(B90="","",COUNTIF($V$34:V90,B90))</f>
        <v/>
      </c>
      <c r="F90" s="41">
        <f>IF(V90="","",IF(E90&gt;=IF(N($C$29)&gt;0,$C$29,3),"Revient : appeler",IF(E90&gt;=2,"Déjà dans la liste","")))</f>
        <v/>
      </c>
      <c r="G90" s="14" t="n"/>
      <c r="H90" s="14" t="n"/>
      <c r="I90" s="14" t="n"/>
      <c r="V90" s="9">
        <f>IF(B90="","",IF(COUNTIF(B89:B90,B90)=1,B90,""))</f>
        <v/>
      </c>
    </row>
    <row r="91" ht="15" customHeight="1">
      <c r="A91" s="29" t="n"/>
      <c r="B91" s="14" t="inlineStr">
        <is>
          <t>Client Charlie</t>
        </is>
      </c>
      <c r="C91" s="22" t="n">
        <v>7250</v>
      </c>
      <c r="D91" s="24" t="n">
        <v>6</v>
      </c>
      <c r="E91" s="31">
        <f>IF(B91="","",COUNTIF($V$34:V91,B91))</f>
        <v/>
      </c>
      <c r="F91" s="41">
        <f>IF(V91="","",IF(E91&gt;=IF(N($C$29)&gt;0,$C$29,3),"Revient : appeler",IF(E91&gt;=2,"Déjà dans la liste","")))</f>
        <v/>
      </c>
      <c r="G91" s="14" t="n"/>
      <c r="H91" s="14" t="n"/>
      <c r="I91" s="14" t="n"/>
      <c r="V91" s="9">
        <f>IF(B91="","",IF(COUNTIF(B89:B91,B91)=1,B91,""))</f>
        <v/>
      </c>
    </row>
    <row r="92" ht="15" customHeight="1">
      <c r="A92" s="29" t="n"/>
      <c r="B92" s="14" t="inlineStr">
        <is>
          <t>Client Delta</t>
        </is>
      </c>
      <c r="C92" s="22" t="n">
        <v>6700</v>
      </c>
      <c r="D92" s="24" t="n">
        <v>21</v>
      </c>
      <c r="E92" s="31">
        <f>IF(B92="","",COUNTIF($V$34:V92,B92))</f>
        <v/>
      </c>
      <c r="F92" s="41">
        <f>IF(V92="","",IF(E92&gt;=IF(N($C$29)&gt;0,$C$29,3),"Revient : appeler",IF(E92&gt;=2,"Déjà dans la liste","")))</f>
        <v/>
      </c>
      <c r="G92" s="14" t="n"/>
      <c r="H92" s="14" t="n"/>
      <c r="I92" s="14" t="n"/>
      <c r="V92" s="9">
        <f>IF(B92="","",IF(COUNTIF(B89:B92,B92)=1,B92,""))</f>
        <v/>
      </c>
    </row>
    <row r="93" ht="15" customHeight="1">
      <c r="A93" s="29" t="n"/>
      <c r="B93" s="14" t="inlineStr">
        <is>
          <t>Client Foxtrot</t>
        </is>
      </c>
      <c r="C93" s="22" t="n">
        <v>4100</v>
      </c>
      <c r="D93" s="24" t="n">
        <v>3</v>
      </c>
      <c r="E93" s="31">
        <f>IF(B93="","",COUNTIF($V$34:V93,B93))</f>
        <v/>
      </c>
      <c r="F93" s="41">
        <f>IF(V93="","",IF(E93&gt;=IF(N($C$29)&gt;0,$C$29,3),"Revient : appeler",IF(E93&gt;=2,"Déjà dans la liste","")))</f>
        <v/>
      </c>
      <c r="G93" s="14" t="n"/>
      <c r="H93" s="14" t="n"/>
      <c r="I93" s="14" t="n"/>
      <c r="V93" s="9">
        <f>IF(B93="","",IF(COUNTIF(B89:B93,B93)=1,B93,""))</f>
        <v/>
      </c>
    </row>
    <row r="95" ht="22" customHeight="1">
      <c r="A95" s="64" t="inlineStr">
        <is>
          <t>3. Relances clients au lundi 21 septembre 2026</t>
        </is>
      </c>
      <c r="B95" s="43" t="n"/>
      <c r="C95" s="43" t="n"/>
      <c r="D95" s="43" t="n"/>
      <c r="E95" s="43" t="n"/>
      <c r="F95" s="43" t="n"/>
      <c r="G95" s="43" t="n"/>
      <c r="H95" s="43" t="n"/>
      <c r="I95" s="43" t="n"/>
      <c r="J95" s="43" t="n"/>
      <c r="K95" s="43" t="n"/>
      <c r="L95" s="43" t="n"/>
      <c r="M95" s="43" t="n"/>
      <c r="N95" s="43" t="n"/>
      <c r="O95" s="43" t="n"/>
    </row>
    <row r="97">
      <c r="A97" s="13" t="inlineStr">
        <is>
          <t>Date du jour (vide = aujourd’hui)</t>
        </is>
      </c>
      <c r="C97" s="17" t="n">
        <v>46286</v>
      </c>
      <c r="F97" s="42" t="inlineStr">
        <is>
          <t>Calendrier de relance (jours par rapport à l’échéance)</t>
        </is>
      </c>
      <c r="G97" s="43" t="n"/>
      <c r="H97" s="43" t="n"/>
      <c r="I97" s="43" t="n"/>
      <c r="J97" s="43" t="n"/>
      <c r="L97" s="15" t="inlineStr">
        <is>
          <t>Factures en retard</t>
        </is>
      </c>
      <c r="O97" s="21">
        <f>COUNTIF($F$113:$F$122,"En retard")</f>
        <v/>
      </c>
    </row>
    <row r="98">
      <c r="A98" s="13" t="inlineStr">
        <is>
          <t>Date retenue pour les calculs</t>
        </is>
      </c>
      <c r="C98" s="16">
        <f>IF($C$97="",TODAY(),$C$97)</f>
        <v/>
      </c>
      <c r="F98" s="32" t="inlineStr">
        <is>
          <t>Rappel courtois</t>
        </is>
      </c>
      <c r="G98" s="44" t="n">
        <v>-3</v>
      </c>
      <c r="H98" s="41" t="inlineStr">
        <is>
          <t>Modèle 1</t>
        </is>
      </c>
      <c r="I98" s="41" t="n"/>
      <c r="J98" s="41" t="n"/>
      <c r="L98" s="15" t="inlineStr">
        <is>
          <t>Montant en retard (TTC)</t>
        </is>
      </c>
      <c r="O98" s="19">
        <f>SUMIF($F$113:$F$122,"En retard",$C$113:$C$122)</f>
        <v/>
      </c>
    </row>
    <row r="99">
      <c r="A99" s="13" t="inlineStr">
        <is>
          <t>Taux annuel des pénalités de retard</t>
        </is>
      </c>
      <c r="C99" s="45" t="n">
        <v>0.124</v>
      </c>
      <c r="F99" s="32" t="inlineStr">
        <is>
          <t>Relance amiable</t>
        </is>
      </c>
      <c r="G99" s="44" t="n">
        <v>1</v>
      </c>
      <c r="H99" s="41" t="inlineStr">
        <is>
          <t>Modèle 2</t>
        </is>
      </c>
      <c r="I99" s="41" t="n"/>
      <c r="J99" s="41" t="n"/>
      <c r="L99" s="15" t="inlineStr">
        <is>
          <t>Pénalités estimées</t>
        </is>
      </c>
      <c r="O99" s="46">
        <f>SUMIF($F$113:$F$122,"En retard",$M$113:$M$122)</f>
        <v/>
      </c>
    </row>
    <row r="100">
      <c r="A100" s="13" t="inlineStr">
        <is>
          <t>Indemnité forfaitaire par facture en retard</t>
        </is>
      </c>
      <c r="C100" s="47" t="n">
        <v>40</v>
      </c>
      <c r="F100" s="32" t="inlineStr">
        <is>
          <t>Appel</t>
        </is>
      </c>
      <c r="G100" s="44" t="n">
        <v>7</v>
      </c>
      <c r="H100" s="41" t="inlineStr">
        <is>
          <t>Appel, puis modèle 3</t>
        </is>
      </c>
      <c r="I100" s="41" t="n"/>
      <c r="J100" s="41" t="n"/>
      <c r="L100" s="15" t="inlineStr">
        <is>
          <t>Indemnités forfaitaires</t>
        </is>
      </c>
      <c r="O100" s="19">
        <f>SUMIF($F$113:$F$122,"En retard",$N$113:$N$122)</f>
        <v/>
      </c>
    </row>
    <row r="101" ht="23.3" customHeight="1">
      <c r="A101" s="48" t="inlineStr">
        <is>
          <t>12,40 % = taux de la BCE au 1er juillet 2026 (2,40 %) + 10 points, pour le second semestre 2026 ; à revoir chaque 1er janvier et 1er juillet. Vos CGV peuvent fixer un autre taux, au moins trois fois le taux d’intérêt légal. Entre professionnels : Code de commerce, art. L441-10 et D441-5.</t>
        </is>
      </c>
      <c r="F101" s="32" t="inlineStr">
        <is>
          <t>Relance écrite</t>
        </is>
      </c>
      <c r="G101" s="44" t="n">
        <v>14</v>
      </c>
      <c r="H101" s="41" t="inlineStr">
        <is>
          <t>Modèle 4 (pénalités)</t>
        </is>
      </c>
      <c r="I101" s="41" t="n"/>
      <c r="J101" s="41" t="n"/>
      <c r="L101" s="15" t="inlineStr">
        <is>
          <t>Relances à faire</t>
        </is>
      </c>
      <c r="O101" s="21">
        <f>COUNTIF($L$113:$L$122,"À faire")+COUNTIF($L$113:$L$122,"À décider")</f>
        <v/>
      </c>
    </row>
    <row r="102" ht="23.3" customHeight="1">
      <c r="F102" s="32" t="inlineStr">
        <is>
          <t>Mise en demeure</t>
        </is>
      </c>
      <c r="G102" s="44" t="n">
        <v>30</v>
      </c>
      <c r="H102" s="41" t="inlineStr">
        <is>
          <t>Avec votre avocat</t>
        </is>
      </c>
      <c r="I102" s="41" t="n"/>
      <c r="J102" s="41" t="n"/>
    </row>
    <row r="104" ht="26.9" customHeight="1">
      <c r="A104" s="49" t="inlineStr">
        <is>
          <t>Les cinq plus gros retards à ce jour : à recopier lundi dans l’onglet « Règle du lundi (retards) »</t>
        </is>
      </c>
      <c r="B104" s="43" t="n"/>
      <c r="C104" s="43" t="n"/>
      <c r="D104" s="43" t="n"/>
    </row>
    <row r="105" ht="26" customHeight="1">
      <c r="A105" s="50" t="inlineStr">
        <is>
          <t>N° de facture</t>
        </is>
      </c>
      <c r="B105" s="50" t="inlineStr">
        <is>
          <t>Client</t>
        </is>
      </c>
      <c r="C105" s="50" t="inlineStr">
        <is>
          <t>Montant TTC</t>
        </is>
      </c>
      <c r="D105" s="50" t="inlineStr">
        <is>
          <t>Jours de retard</t>
        </is>
      </c>
    </row>
    <row r="106">
      <c r="A106" s="51">
        <f>IF($P106="","",INDEX($A$113:$A$122,MATCH($P106,$T$113:$T$122,0))&amp;"")</f>
        <v/>
      </c>
      <c r="B106" s="51">
        <f>IF($P106="","Aucune facture en retard",INDEX($B$113:$B$122,MATCH($P106,$T$113:$T$122,0))&amp;"")</f>
        <v/>
      </c>
      <c r="C106" s="52">
        <f>IF($P106="","",INDEX($C$113:$C$122,MATCH($P106,$T$113:$T$122,0)))</f>
        <v/>
      </c>
      <c r="D106" s="53">
        <f>IF($P106="","",INDEX($G$113:$G$122,MATCH($P106,$T$113:$T$122,0)))</f>
        <v/>
      </c>
      <c r="P106" s="9">
        <f>IFERROR(LARGE($T$113:$T$122,1),"")</f>
        <v/>
      </c>
    </row>
    <row r="107">
      <c r="A107" s="51">
        <f>IF($P107="","",INDEX($A$113:$A$122,MATCH($P107,$T$113:$T$122,0))&amp;"")</f>
        <v/>
      </c>
      <c r="B107" s="51">
        <f>IF($P107="","",INDEX($B$113:$B$122,MATCH($P107,$T$113:$T$122,0))&amp;"")</f>
        <v/>
      </c>
      <c r="C107" s="52">
        <f>IF($P107="","",INDEX($C$113:$C$122,MATCH($P107,$T$113:$T$122,0)))</f>
        <v/>
      </c>
      <c r="D107" s="53">
        <f>IF($P107="","",INDEX($G$113:$G$122,MATCH($P107,$T$113:$T$122,0)))</f>
        <v/>
      </c>
      <c r="P107" s="9">
        <f>IFERROR(LARGE($T$113:$T$122,2),"")</f>
        <v/>
      </c>
    </row>
    <row r="108">
      <c r="A108" s="51">
        <f>IF($P108="","",INDEX($A$113:$A$122,MATCH($P108,$T$113:$T$122,0))&amp;"")</f>
        <v/>
      </c>
      <c r="B108" s="51">
        <f>IF($P108="","",INDEX($B$113:$B$122,MATCH($P108,$T$113:$T$122,0))&amp;"")</f>
        <v/>
      </c>
      <c r="C108" s="52">
        <f>IF($P108="","",INDEX($C$113:$C$122,MATCH($P108,$T$113:$T$122,0)))</f>
        <v/>
      </c>
      <c r="D108" s="53">
        <f>IF($P108="","",INDEX($G$113:$G$122,MATCH($P108,$T$113:$T$122,0)))</f>
        <v/>
      </c>
      <c r="P108" s="9">
        <f>IFERROR(LARGE($T$113:$T$122,3),"")</f>
        <v/>
      </c>
    </row>
    <row r="109">
      <c r="A109" s="51">
        <f>IF($P109="","",INDEX($A$113:$A$122,MATCH($P109,$T$113:$T$122,0))&amp;"")</f>
        <v/>
      </c>
      <c r="B109" s="51">
        <f>IF($P109="","",INDEX($B$113:$B$122,MATCH($P109,$T$113:$T$122,0))&amp;"")</f>
        <v/>
      </c>
      <c r="C109" s="52">
        <f>IF($P109="","",INDEX($C$113:$C$122,MATCH($P109,$T$113:$T$122,0)))</f>
        <v/>
      </c>
      <c r="D109" s="53">
        <f>IF($P109="","",INDEX($G$113:$G$122,MATCH($P109,$T$113:$T$122,0)))</f>
        <v/>
      </c>
      <c r="P109" s="9">
        <f>IFERROR(LARGE($T$113:$T$122,4),"")</f>
        <v/>
      </c>
    </row>
    <row r="110">
      <c r="A110" s="51">
        <f>IF($P110="","",INDEX($A$113:$A$122,MATCH($P110,$T$113:$T$122,0))&amp;"")</f>
        <v/>
      </c>
      <c r="B110" s="51">
        <f>IF($P110="","",INDEX($B$113:$B$122,MATCH($P110,$T$113:$T$122,0))&amp;"")</f>
        <v/>
      </c>
      <c r="C110" s="52">
        <f>IF($P110="","",INDEX($C$113:$C$122,MATCH($P110,$T$113:$T$122,0)))</f>
        <v/>
      </c>
      <c r="D110" s="53">
        <f>IF($P110="","",INDEX($G$113:$G$122,MATCH($P110,$T$113:$T$122,0)))</f>
        <v/>
      </c>
      <c r="P110" s="9">
        <f>IFERROR(LARGE($T$113:$T$122,5),"")</f>
        <v/>
      </c>
    </row>
    <row r="111" ht="8" customHeight="1"/>
    <row r="112" ht="42" customHeight="1">
      <c r="A112" s="27" t="inlineStr">
        <is>
          <t>N° de facture</t>
        </is>
      </c>
      <c r="B112" s="27" t="inlineStr">
        <is>
          <t>Client</t>
        </is>
      </c>
      <c r="C112" s="27" t="inlineStr">
        <is>
          <t>Montant TTC</t>
        </is>
      </c>
      <c r="D112" s="27" t="inlineStr">
        <is>
          <t>Échéance</t>
        </is>
      </c>
      <c r="E112" s="27" t="inlineStr">
        <is>
          <t>Date de paiement</t>
        </is>
      </c>
      <c r="F112" s="27" t="inlineStr">
        <is>
          <t>Statut</t>
        </is>
      </c>
      <c r="G112" s="27" t="inlineStr">
        <is>
          <t>Jours de retard</t>
        </is>
      </c>
      <c r="H112" s="27" t="inlineStr">
        <is>
          <t>Dernière action faite</t>
        </is>
      </c>
      <c r="I112" s="27" t="inlineStr">
        <is>
          <t>Date de cette action</t>
        </is>
      </c>
      <c r="J112" s="27" t="inlineStr">
        <is>
          <t>Prochaine action</t>
        </is>
      </c>
      <c r="K112" s="27" t="inlineStr">
        <is>
          <t>Date prévue</t>
        </is>
      </c>
      <c r="L112" s="27" t="inlineStr">
        <is>
          <t>À faire</t>
        </is>
      </c>
      <c r="M112" s="27" t="inlineStr">
        <is>
          <t>Pénalités de retard (estimation)</t>
        </is>
      </c>
      <c r="N112" s="27" t="inlineStr">
        <is>
          <t>Indemnité forfaitaire</t>
        </is>
      </c>
      <c r="O112" s="27" t="inlineStr">
        <is>
          <t>Notes</t>
        </is>
      </c>
    </row>
    <row r="113" ht="16" customHeight="1">
      <c r="A113" s="14" t="inlineStr">
        <is>
          <t>F-2026-101</t>
        </is>
      </c>
      <c r="B113" s="14" t="inlineStr">
        <is>
          <t>Client Alpha</t>
        </is>
      </c>
      <c r="C113" s="22" t="n">
        <v>4800</v>
      </c>
      <c r="D113" s="17" t="n">
        <v>46218</v>
      </c>
      <c r="E113" s="17" t="n">
        <v>46217</v>
      </c>
      <c r="F113" s="32">
        <f>IF(AND(A113="",B113="",C113="",D113="",E113=""),"",IF(D113="","Échéance à saisir",IF(E113&lt;&gt;"",IF(E113&lt;=D113,"Payée","Payée en retard"),IF($C$98&lt;=D113,"À échoir","En retard"))))</f>
        <v/>
      </c>
      <c r="G113" s="31">
        <f>IF(OR(F113="",D113=""),"",IF(E113&lt;&gt;"",MAX(0,E113-D113),MAX(0,$C$98-D113)))</f>
        <v/>
      </c>
      <c r="H113" s="14" t="n"/>
      <c r="I113" s="17" t="n"/>
      <c r="J113" s="41">
        <f>IF(S113="","",IF(S113&gt;5,"Suite avec votre avocat",INDEX($F$98:$F$102,S113)))</f>
        <v/>
      </c>
      <c r="K113" s="20">
        <f>IF(S113="","",IF(S113&gt;5,"",D113+INDEX($G$98:$G$102,S113)))</f>
        <v/>
      </c>
      <c r="L113" s="54">
        <f>IF(S113="","",IF(S113&gt;5,"À décider",IF(K113&lt;=$C$98,"À faire","")))</f>
        <v/>
      </c>
      <c r="M113" s="55">
        <f>IF(F113="","",IF(N(G113)&lt;=0,0,N(C113)*$C$99*G113/365))</f>
        <v/>
      </c>
      <c r="N113" s="33">
        <f>IF(F113="","",IF(N(G113)&lt;=0,0,N($C$100)))</f>
        <v/>
      </c>
      <c r="O113" s="14" t="n"/>
      <c r="P113" s="9">
        <f>IF(OR(F113="À échoir",F113="En retard"),$C$98-D113,"")</f>
        <v/>
      </c>
      <c r="Q113" s="9">
        <f>IF(P113="","",(P113&gt;=$G$98)+(P113&gt;=$G$99)+(P113&gt;=$G$100)+(P113&gt;=$G$101)+(P113&gt;=$G$102))</f>
        <v/>
      </c>
      <c r="R113" s="9">
        <f>IF(H113="",0,IFERROR(MATCH(H113,$F$98:$F$102,0),0))</f>
        <v/>
      </c>
      <c r="S113" s="9">
        <f>IF(Q113="","",IF(R113&gt;=Q113,R113+1,Q113))</f>
        <v/>
      </c>
      <c r="T113" s="9">
        <f>IF(F113="En retard",N(C113)+113/1000000000,"")</f>
        <v/>
      </c>
    </row>
    <row r="114" ht="16" customHeight="1">
      <c r="A114" s="14" t="inlineStr">
        <is>
          <t>F-2026-114</t>
        </is>
      </c>
      <c r="B114" s="14" t="inlineStr">
        <is>
          <t>Client Bravo</t>
        </is>
      </c>
      <c r="C114" s="22" t="n">
        <v>12600</v>
      </c>
      <c r="D114" s="17" t="n">
        <v>46234</v>
      </c>
      <c r="E114" s="17" t="n">
        <v>46253</v>
      </c>
      <c r="F114" s="32">
        <f>IF(AND(A114="",B114="",C114="",D114="",E114=""),"",IF(D114="","Échéance à saisir",IF(E114&lt;&gt;"",IF(E114&lt;=D114,"Payée","Payée en retard"),IF($C$98&lt;=D114,"À échoir","En retard"))))</f>
        <v/>
      </c>
      <c r="G114" s="31">
        <f>IF(OR(F114="",D114=""),"",IF(E114&lt;&gt;"",MAX(0,E114-D114),MAX(0,$C$98-D114)))</f>
        <v/>
      </c>
      <c r="H114" s="14" t="inlineStr">
        <is>
          <t>Relance écrite</t>
        </is>
      </c>
      <c r="I114" s="17" t="n">
        <v>46248</v>
      </c>
      <c r="J114" s="41">
        <f>IF(S114="","",IF(S114&gt;5,"Suite avec votre avocat",INDEX($F$98:$F$102,S114)))</f>
        <v/>
      </c>
      <c r="K114" s="20">
        <f>IF(S114="","",IF(S114&gt;5,"",D114+INDEX($G$98:$G$102,S114)))</f>
        <v/>
      </c>
      <c r="L114" s="54">
        <f>IF(S114="","",IF(S114&gt;5,"À décider",IF(K114&lt;=$C$98,"À faire","")))</f>
        <v/>
      </c>
      <c r="M114" s="55">
        <f>IF(F114="","",IF(N(G114)&lt;=0,0,N(C114)*$C$99*G114/365))</f>
        <v/>
      </c>
      <c r="N114" s="33">
        <f>IF(F114="","",IF(N(G114)&lt;=0,0,N($C$100)))</f>
        <v/>
      </c>
      <c r="O114" s="14" t="n"/>
      <c r="P114" s="9">
        <f>IF(OR(F114="À échoir",F114="En retard"),$C$98-D114,"")</f>
        <v/>
      </c>
      <c r="Q114" s="9">
        <f>IF(P114="","",(P114&gt;=$G$98)+(P114&gt;=$G$99)+(P114&gt;=$G$100)+(P114&gt;=$G$101)+(P114&gt;=$G$102))</f>
        <v/>
      </c>
      <c r="R114" s="9">
        <f>IF(H114="",0,IFERROR(MATCH(H114,$F$98:$F$102,0),0))</f>
        <v/>
      </c>
      <c r="S114" s="9">
        <f>IF(Q114="","",IF(R114&gt;=Q114,R114+1,Q114))</f>
        <v/>
      </c>
      <c r="T114" s="9">
        <f>IF(F114="En retard",N(C114)+114/1000000000,"")</f>
        <v/>
      </c>
    </row>
    <row r="115" ht="16" customHeight="1">
      <c r="A115" s="14" t="inlineStr">
        <is>
          <t>F-2026-127</t>
        </is>
      </c>
      <c r="B115" s="14" t="inlineStr">
        <is>
          <t>Client Delta</t>
        </is>
      </c>
      <c r="C115" s="22" t="n">
        <v>18400</v>
      </c>
      <c r="D115" s="17" t="n">
        <v>46234</v>
      </c>
      <c r="E115" s="17" t="n"/>
      <c r="F115" s="32">
        <f>IF(AND(A115="",B115="",C115="",D115="",E115=""),"",IF(D115="","Échéance à saisir",IF(E115&lt;&gt;"",IF(E115&lt;=D115,"Payée","Payée en retard"),IF($C$98&lt;=D115,"À échoir","En retard"))))</f>
        <v/>
      </c>
      <c r="G115" s="31">
        <f>IF(OR(F115="",D115=""),"",IF(E115&lt;&gt;"",MAX(0,E115-D115),MAX(0,$C$98-D115)))</f>
        <v/>
      </c>
      <c r="H115" s="14" t="inlineStr">
        <is>
          <t>Relance écrite</t>
        </is>
      </c>
      <c r="I115" s="17" t="n">
        <v>46248</v>
      </c>
      <c r="J115" s="41">
        <f>IF(S115="","",IF(S115&gt;5,"Suite avec votre avocat",INDEX($F$98:$F$102,S115)))</f>
        <v/>
      </c>
      <c r="K115" s="20">
        <f>IF(S115="","",IF(S115&gt;5,"",D115+INDEX($G$98:$G$102,S115)))</f>
        <v/>
      </c>
      <c r="L115" s="54">
        <f>IF(S115="","",IF(S115&gt;5,"À décider",IF(K115&lt;=$C$98,"À faire","")))</f>
        <v/>
      </c>
      <c r="M115" s="55">
        <f>IF(F115="","",IF(N(G115)&lt;=0,0,N(C115)*$C$99*G115/365))</f>
        <v/>
      </c>
      <c r="N115" s="33">
        <f>IF(F115="","",IF(N(G115)&lt;=0,0,N($C$100)))</f>
        <v/>
      </c>
      <c r="O115" s="14" t="inlineStr">
        <is>
          <t>Promesse orale non tenue.</t>
        </is>
      </c>
      <c r="P115" s="9">
        <f>IF(OR(F115="À échoir",F115="En retard"),$C$98-D115,"")</f>
        <v/>
      </c>
      <c r="Q115" s="9">
        <f>IF(P115="","",(P115&gt;=$G$98)+(P115&gt;=$G$99)+(P115&gt;=$G$100)+(P115&gt;=$G$101)+(P115&gt;=$G$102))</f>
        <v/>
      </c>
      <c r="R115" s="9">
        <f>IF(H115="",0,IFERROR(MATCH(H115,$F$98:$F$102,0),0))</f>
        <v/>
      </c>
      <c r="S115" s="9">
        <f>IF(Q115="","",IF(R115&gt;=Q115,R115+1,Q115))</f>
        <v/>
      </c>
      <c r="T115" s="9">
        <f>IF(F115="En retard",N(C115)+115/1000000000,"")</f>
        <v/>
      </c>
    </row>
    <row r="116" ht="16" customHeight="1">
      <c r="A116" s="14" t="inlineStr">
        <is>
          <t>F-2026-118</t>
        </is>
      </c>
      <c r="B116" s="14" t="inlineStr">
        <is>
          <t>Client Delta</t>
        </is>
      </c>
      <c r="C116" s="22" t="n">
        <v>6700</v>
      </c>
      <c r="D116" s="17" t="n">
        <v>46265</v>
      </c>
      <c r="E116" s="17" t="n"/>
      <c r="F116" s="32">
        <f>IF(AND(A116="",B116="",C116="",D116="",E116=""),"",IF(D116="","Échéance à saisir",IF(E116&lt;&gt;"",IF(E116&lt;=D116,"Payée","Payée en retard"),IF($C$98&lt;=D116,"À échoir","En retard"))))</f>
        <v/>
      </c>
      <c r="G116" s="31">
        <f>IF(OR(F116="",D116=""),"",IF(E116&lt;&gt;"",MAX(0,E116-D116),MAX(0,$C$98-D116)))</f>
        <v/>
      </c>
      <c r="H116" s="14" t="inlineStr">
        <is>
          <t>Appel</t>
        </is>
      </c>
      <c r="I116" s="17" t="n">
        <v>46272</v>
      </c>
      <c r="J116" s="41">
        <f>IF(S116="","",IF(S116&gt;5,"Suite avec votre avocat",INDEX($F$98:$F$102,S116)))</f>
        <v/>
      </c>
      <c r="K116" s="20">
        <f>IF(S116="","",IF(S116&gt;5,"",D116+INDEX($G$98:$G$102,S116)))</f>
        <v/>
      </c>
      <c r="L116" s="54">
        <f>IF(S116="","",IF(S116&gt;5,"À décider",IF(K116&lt;=$C$98,"À faire","")))</f>
        <v/>
      </c>
      <c r="M116" s="55">
        <f>IF(F116="","",IF(N(G116)&lt;=0,0,N(C116)*$C$99*G116/365))</f>
        <v/>
      </c>
      <c r="N116" s="33">
        <f>IF(F116="","",IF(N(G116)&lt;=0,0,N($C$100)))</f>
        <v/>
      </c>
      <c r="O116" s="14" t="n"/>
      <c r="P116" s="9">
        <f>IF(OR(F116="À échoir",F116="En retard"),$C$98-D116,"")</f>
        <v/>
      </c>
      <c r="Q116" s="9">
        <f>IF(P116="","",(P116&gt;=$G$98)+(P116&gt;=$G$99)+(P116&gt;=$G$100)+(P116&gt;=$G$101)+(P116&gt;=$G$102))</f>
        <v/>
      </c>
      <c r="R116" s="9">
        <f>IF(H116="",0,IFERROR(MATCH(H116,$F$98:$F$102,0),0))</f>
        <v/>
      </c>
      <c r="S116" s="9">
        <f>IF(Q116="","",IF(R116&gt;=Q116,R116+1,Q116))</f>
        <v/>
      </c>
      <c r="T116" s="9">
        <f>IF(F116="En retard",N(C116)+116/1000000000,"")</f>
        <v/>
      </c>
    </row>
    <row r="117" ht="16" customHeight="1">
      <c r="A117" s="14" t="inlineStr">
        <is>
          <t>F-2026-130</t>
        </is>
      </c>
      <c r="B117" s="14" t="inlineStr">
        <is>
          <t>Client Bravo</t>
        </is>
      </c>
      <c r="C117" s="22" t="n">
        <v>9300</v>
      </c>
      <c r="D117" s="17" t="n">
        <v>46265</v>
      </c>
      <c r="E117" s="17" t="n"/>
      <c r="F117" s="32">
        <f>IF(AND(A117="",B117="",C117="",D117="",E117=""),"",IF(D117="","Échéance à saisir",IF(E117&lt;&gt;"",IF(E117&lt;=D117,"Payée","Payée en retard"),IF($C$98&lt;=D117,"À échoir","En retard"))))</f>
        <v/>
      </c>
      <c r="G117" s="31">
        <f>IF(OR(F117="",D117=""),"",IF(E117&lt;&gt;"",MAX(0,E117-D117),MAX(0,$C$98-D117)))</f>
        <v/>
      </c>
      <c r="H117" s="14" t="inlineStr">
        <is>
          <t>Relance amiable</t>
        </is>
      </c>
      <c r="I117" s="17" t="n">
        <v>46266</v>
      </c>
      <c r="J117" s="41">
        <f>IF(S117="","",IF(S117&gt;5,"Suite avec votre avocat",INDEX($F$98:$F$102,S117)))</f>
        <v/>
      </c>
      <c r="K117" s="20">
        <f>IF(S117="","",IF(S117&gt;5,"",D117+INDEX($G$98:$G$102,S117)))</f>
        <v/>
      </c>
      <c r="L117" s="54">
        <f>IF(S117="","",IF(S117&gt;5,"À décider",IF(K117&lt;=$C$98,"À faire","")))</f>
        <v/>
      </c>
      <c r="M117" s="55">
        <f>IF(F117="","",IF(N(G117)&lt;=0,0,N(C117)*$C$99*G117/365))</f>
        <v/>
      </c>
      <c r="N117" s="33">
        <f>IF(F117="","",IF(N(G117)&lt;=0,0,N($C$100)))</f>
        <v/>
      </c>
      <c r="O117" s="14" t="n"/>
      <c r="P117" s="9">
        <f>IF(OR(F117="À échoir",F117="En retard"),$C$98-D117,"")</f>
        <v/>
      </c>
      <c r="Q117" s="9">
        <f>IF(P117="","",(P117&gt;=$G$98)+(P117&gt;=$G$99)+(P117&gt;=$G$100)+(P117&gt;=$G$101)+(P117&gt;=$G$102))</f>
        <v/>
      </c>
      <c r="R117" s="9">
        <f>IF(H117="",0,IFERROR(MATCH(H117,$F$98:$F$102,0),0))</f>
        <v/>
      </c>
      <c r="S117" s="9">
        <f>IF(Q117="","",IF(R117&gt;=Q117,R117+1,Q117))</f>
        <v/>
      </c>
      <c r="T117" s="9">
        <f>IF(F117="En retard",N(C117)+117/1000000000,"")</f>
        <v/>
      </c>
    </row>
    <row r="118" ht="16" customHeight="1">
      <c r="A118" s="14" t="inlineStr">
        <is>
          <t>F-2026-125</t>
        </is>
      </c>
      <c r="B118" s="14" t="inlineStr">
        <is>
          <t>Client Alpha</t>
        </is>
      </c>
      <c r="C118" s="22" t="n">
        <v>5400</v>
      </c>
      <c r="D118" s="17" t="n">
        <v>46275</v>
      </c>
      <c r="E118" s="17" t="n">
        <v>46283</v>
      </c>
      <c r="F118" s="32">
        <f>IF(AND(A118="",B118="",C118="",D118="",E118=""),"",IF(D118="","Échéance à saisir",IF(E118&lt;&gt;"",IF(E118&lt;=D118,"Payée","Payée en retard"),IF($C$98&lt;=D118,"À échoir","En retard"))))</f>
        <v/>
      </c>
      <c r="G118" s="31">
        <f>IF(OR(F118="",D118=""),"",IF(E118&lt;&gt;"",MAX(0,E118-D118),MAX(0,$C$98-D118)))</f>
        <v/>
      </c>
      <c r="H118" s="14" t="n"/>
      <c r="I118" s="17" t="n"/>
      <c r="J118" s="41">
        <f>IF(S118="","",IF(S118&gt;5,"Suite avec votre avocat",INDEX($F$98:$F$102,S118)))</f>
        <v/>
      </c>
      <c r="K118" s="20">
        <f>IF(S118="","",IF(S118&gt;5,"",D118+INDEX($G$98:$G$102,S118)))</f>
        <v/>
      </c>
      <c r="L118" s="54">
        <f>IF(S118="","",IF(S118&gt;5,"À décider",IF(K118&lt;=$C$98,"À faire","")))</f>
        <v/>
      </c>
      <c r="M118" s="55">
        <f>IF(F118="","",IF(N(G118)&lt;=0,0,N(C118)*$C$99*G118/365))</f>
        <v/>
      </c>
      <c r="N118" s="33">
        <f>IF(F118="","",IF(N(G118)&lt;=0,0,N($C$100)))</f>
        <v/>
      </c>
      <c r="O118" s="14" t="n"/>
      <c r="P118" s="9">
        <f>IF(OR(F118="À échoir",F118="En retard"),$C$98-D118,"")</f>
        <v/>
      </c>
      <c r="Q118" s="9">
        <f>IF(P118="","",(P118&gt;=$G$98)+(P118&gt;=$G$99)+(P118&gt;=$G$100)+(P118&gt;=$G$101)+(P118&gt;=$G$102))</f>
        <v/>
      </c>
      <c r="R118" s="9">
        <f>IF(H118="",0,IFERROR(MATCH(H118,$F$98:$F$102,0),0))</f>
        <v/>
      </c>
      <c r="S118" s="9">
        <f>IF(Q118="","",IF(R118&gt;=Q118,R118+1,Q118))</f>
        <v/>
      </c>
      <c r="T118" s="9">
        <f>IF(F118="En retard",N(C118)+118/1000000000,"")</f>
        <v/>
      </c>
    </row>
    <row r="119" ht="16" customHeight="1">
      <c r="A119" s="14" t="inlineStr">
        <is>
          <t>F-2026-133</t>
        </is>
      </c>
      <c r="B119" s="14" t="inlineStr">
        <is>
          <t>Client Charlie</t>
        </is>
      </c>
      <c r="C119" s="22" t="n">
        <v>7250</v>
      </c>
      <c r="D119" s="17" t="n">
        <v>46280</v>
      </c>
      <c r="E119" s="17" t="n"/>
      <c r="F119" s="32">
        <f>IF(AND(A119="",B119="",C119="",D119="",E119=""),"",IF(D119="","Échéance à saisir",IF(E119&lt;&gt;"",IF(E119&lt;=D119,"Payée","Payée en retard"),IF($C$98&lt;=D119,"À échoir","En retard"))))</f>
        <v/>
      </c>
      <c r="G119" s="31">
        <f>IF(OR(F119="",D119=""),"",IF(E119&lt;&gt;"",MAX(0,E119-D119),MAX(0,$C$98-D119)))</f>
        <v/>
      </c>
      <c r="H119" s="14" t="inlineStr">
        <is>
          <t>Relance amiable</t>
        </is>
      </c>
      <c r="I119" s="17" t="n">
        <v>46281</v>
      </c>
      <c r="J119" s="41">
        <f>IF(S119="","",IF(S119&gt;5,"Suite avec votre avocat",INDEX($F$98:$F$102,S119)))</f>
        <v/>
      </c>
      <c r="K119" s="20">
        <f>IF(S119="","",IF(S119&gt;5,"",D119+INDEX($G$98:$G$102,S119)))</f>
        <v/>
      </c>
      <c r="L119" s="54">
        <f>IF(S119="","",IF(S119&gt;5,"À décider",IF(K119&lt;=$C$98,"À faire","")))</f>
        <v/>
      </c>
      <c r="M119" s="55">
        <f>IF(F119="","",IF(N(G119)&lt;=0,0,N(C119)*$C$99*G119/365))</f>
        <v/>
      </c>
      <c r="N119" s="33">
        <f>IF(F119="","",IF(N(G119)&lt;=0,0,N($C$100)))</f>
        <v/>
      </c>
      <c r="O119" s="14" t="n"/>
      <c r="P119" s="9">
        <f>IF(OR(F119="À échoir",F119="En retard"),$C$98-D119,"")</f>
        <v/>
      </c>
      <c r="Q119" s="9">
        <f>IF(P119="","",(P119&gt;=$G$98)+(P119&gt;=$G$99)+(P119&gt;=$G$100)+(P119&gt;=$G$101)+(P119&gt;=$G$102))</f>
        <v/>
      </c>
      <c r="R119" s="9">
        <f>IF(H119="",0,IFERROR(MATCH(H119,$F$98:$F$102,0),0))</f>
        <v/>
      </c>
      <c r="S119" s="9">
        <f>IF(Q119="","",IF(R119&gt;=Q119,R119+1,Q119))</f>
        <v/>
      </c>
      <c r="T119" s="9">
        <f>IF(F119="En retard",N(C119)+119/1000000000,"")</f>
        <v/>
      </c>
    </row>
    <row r="120" ht="16" customHeight="1">
      <c r="A120" s="14" t="inlineStr">
        <is>
          <t>F-2026-136</t>
        </is>
      </c>
      <c r="B120" s="14" t="inlineStr">
        <is>
          <t>Client Foxtrot</t>
        </is>
      </c>
      <c r="C120" s="22" t="n">
        <v>4100</v>
      </c>
      <c r="D120" s="17" t="n">
        <v>46283</v>
      </c>
      <c r="E120" s="17" t="n"/>
      <c r="F120" s="32">
        <f>IF(AND(A120="",B120="",C120="",D120="",E120=""),"",IF(D120="","Échéance à saisir",IF(E120&lt;&gt;"",IF(E120&lt;=D120,"Payée","Payée en retard"),IF($C$98&lt;=D120,"À échoir","En retard"))))</f>
        <v/>
      </c>
      <c r="G120" s="31">
        <f>IF(OR(F120="",D120=""),"",IF(E120&lt;&gt;"",MAX(0,E120-D120),MAX(0,$C$98-D120)))</f>
        <v/>
      </c>
      <c r="H120" s="14" t="n"/>
      <c r="I120" s="17" t="n"/>
      <c r="J120" s="41">
        <f>IF(S120="","",IF(S120&gt;5,"Suite avec votre avocat",INDEX($F$98:$F$102,S120)))</f>
        <v/>
      </c>
      <c r="K120" s="20">
        <f>IF(S120="","",IF(S120&gt;5,"",D120+INDEX($G$98:$G$102,S120)))</f>
        <v/>
      </c>
      <c r="L120" s="54">
        <f>IF(S120="","",IF(S120&gt;5,"À décider",IF(K120&lt;=$C$98,"À faire","")))</f>
        <v/>
      </c>
      <c r="M120" s="55">
        <f>IF(F120="","",IF(N(G120)&lt;=0,0,N(C120)*$C$99*G120/365))</f>
        <v/>
      </c>
      <c r="N120" s="33">
        <f>IF(F120="","",IF(N(G120)&lt;=0,0,N($C$100)))</f>
        <v/>
      </c>
      <c r="O120" s="14" t="inlineStr">
        <is>
          <t>Relance à envoyer ce jour.</t>
        </is>
      </c>
      <c r="P120" s="9">
        <f>IF(OR(F120="À échoir",F120="En retard"),$C$98-D120,"")</f>
        <v/>
      </c>
      <c r="Q120" s="9">
        <f>IF(P120="","",(P120&gt;=$G$98)+(P120&gt;=$G$99)+(P120&gt;=$G$100)+(P120&gt;=$G$101)+(P120&gt;=$G$102))</f>
        <v/>
      </c>
      <c r="R120" s="9">
        <f>IF(H120="",0,IFERROR(MATCH(H120,$F$98:$F$102,0),0))</f>
        <v/>
      </c>
      <c r="S120" s="9">
        <f>IF(Q120="","",IF(R120&gt;=Q120,R120+1,Q120))</f>
        <v/>
      </c>
      <c r="T120" s="9">
        <f>IF(F120="En retard",N(C120)+120/1000000000,"")</f>
        <v/>
      </c>
    </row>
    <row r="121" ht="16" customHeight="1">
      <c r="A121" s="14" t="inlineStr">
        <is>
          <t>F-2026-139</t>
        </is>
      </c>
      <c r="B121" s="14" t="inlineStr">
        <is>
          <t>Client Echo</t>
        </is>
      </c>
      <c r="C121" s="22" t="n">
        <v>9900</v>
      </c>
      <c r="D121" s="17" t="n">
        <v>46289</v>
      </c>
      <c r="E121" s="17" t="n"/>
      <c r="F121" s="32">
        <f>IF(AND(A121="",B121="",C121="",D121="",E121=""),"",IF(D121="","Échéance à saisir",IF(E121&lt;&gt;"",IF(E121&lt;=D121,"Payée","Payée en retard"),IF($C$98&lt;=D121,"À échoir","En retard"))))</f>
        <v/>
      </c>
      <c r="G121" s="31">
        <f>IF(OR(F121="",D121=""),"",IF(E121&lt;&gt;"",MAX(0,E121-D121),MAX(0,$C$98-D121)))</f>
        <v/>
      </c>
      <c r="H121" s="14" t="n"/>
      <c r="I121" s="17" t="n"/>
      <c r="J121" s="41">
        <f>IF(S121="","",IF(S121&gt;5,"Suite avec votre avocat",INDEX($F$98:$F$102,S121)))</f>
        <v/>
      </c>
      <c r="K121" s="20">
        <f>IF(S121="","",IF(S121&gt;5,"",D121+INDEX($G$98:$G$102,S121)))</f>
        <v/>
      </c>
      <c r="L121" s="54">
        <f>IF(S121="","",IF(S121&gt;5,"À décider",IF(K121&lt;=$C$98,"À faire","")))</f>
        <v/>
      </c>
      <c r="M121" s="55">
        <f>IF(F121="","",IF(N(G121)&lt;=0,0,N(C121)*$C$99*G121/365))</f>
        <v/>
      </c>
      <c r="N121" s="33">
        <f>IF(F121="","",IF(N(G121)&lt;=0,0,N($C$100)))</f>
        <v/>
      </c>
      <c r="O121" s="14" t="n"/>
      <c r="P121" s="9">
        <f>IF(OR(F121="À échoir",F121="En retard"),$C$98-D121,"")</f>
        <v/>
      </c>
      <c r="Q121" s="9">
        <f>IF(P121="","",(P121&gt;=$G$98)+(P121&gt;=$G$99)+(P121&gt;=$G$100)+(P121&gt;=$G$101)+(P121&gt;=$G$102))</f>
        <v/>
      </c>
      <c r="R121" s="9">
        <f>IF(H121="",0,IFERROR(MATCH(H121,$F$98:$F$102,0),0))</f>
        <v/>
      </c>
      <c r="S121" s="9">
        <f>IF(Q121="","",IF(R121&gt;=Q121,R121+1,Q121))</f>
        <v/>
      </c>
      <c r="T121" s="9">
        <f>IF(F121="En retard",N(C121)+121/1000000000,"")</f>
        <v/>
      </c>
    </row>
    <row r="122" ht="16" customHeight="1">
      <c r="A122" s="14" t="inlineStr">
        <is>
          <t>F-2026-141</t>
        </is>
      </c>
      <c r="B122" s="14" t="inlineStr">
        <is>
          <t>Client Foxtrot</t>
        </is>
      </c>
      <c r="C122" s="22" t="n">
        <v>3300</v>
      </c>
      <c r="D122" s="17" t="n">
        <v>46326</v>
      </c>
      <c r="E122" s="17" t="n"/>
      <c r="F122" s="32">
        <f>IF(AND(A122="",B122="",C122="",D122="",E122=""),"",IF(D122="","Échéance à saisir",IF(E122&lt;&gt;"",IF(E122&lt;=D122,"Payée","Payée en retard"),IF($C$98&lt;=D122,"À échoir","En retard"))))</f>
        <v/>
      </c>
      <c r="G122" s="31">
        <f>IF(OR(F122="",D122=""),"",IF(E122&lt;&gt;"",MAX(0,E122-D122),MAX(0,$C$98-D122)))</f>
        <v/>
      </c>
      <c r="H122" s="14" t="n"/>
      <c r="I122" s="17" t="n"/>
      <c r="J122" s="41">
        <f>IF(S122="","",IF(S122&gt;5,"Suite avec votre avocat",INDEX($F$98:$F$102,S122)))</f>
        <v/>
      </c>
      <c r="K122" s="20">
        <f>IF(S122="","",IF(S122&gt;5,"",D122+INDEX($G$98:$G$102,S122)))</f>
        <v/>
      </c>
      <c r="L122" s="54">
        <f>IF(S122="","",IF(S122&gt;5,"À décider",IF(K122&lt;=$C$98,"À faire","")))</f>
        <v/>
      </c>
      <c r="M122" s="55">
        <f>IF(F122="","",IF(N(G122)&lt;=0,0,N(C122)*$C$99*G122/365))</f>
        <v/>
      </c>
      <c r="N122" s="33">
        <f>IF(F122="","",IF(N(G122)&lt;=0,0,N($C$100)))</f>
        <v/>
      </c>
      <c r="O122" s="14" t="n"/>
      <c r="P122" s="9">
        <f>IF(OR(F122="À échoir",F122="En retard"),$C$98-D122,"")</f>
        <v/>
      </c>
      <c r="Q122" s="9">
        <f>IF(P122="","",(P122&gt;=$G$98)+(P122&gt;=$G$99)+(P122&gt;=$G$100)+(P122&gt;=$G$101)+(P122&gt;=$G$102))</f>
        <v/>
      </c>
      <c r="R122" s="9">
        <f>IF(H122="",0,IFERROR(MATCH(H122,$F$98:$F$102,0),0))</f>
        <v/>
      </c>
      <c r="S122" s="9">
        <f>IF(Q122="","",IF(R122&gt;=Q122,R122+1,Q122))</f>
        <v/>
      </c>
      <c r="T122" s="9">
        <f>IF(F122="En retard",N(C122)+122/1000000000,"")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40">
    <mergeCell ref="G38:I38"/>
    <mergeCell ref="A98:B98"/>
    <mergeCell ref="G62:I62"/>
    <mergeCell ref="E23:F23"/>
    <mergeCell ref="G87:I87"/>
    <mergeCell ref="H100:J100"/>
    <mergeCell ref="J18:M18"/>
    <mergeCell ref="A95:O95"/>
    <mergeCell ref="G89:I89"/>
    <mergeCell ref="A7:B7"/>
    <mergeCell ref="J17:M17"/>
    <mergeCell ref="G65:I65"/>
    <mergeCell ref="A99:B99"/>
    <mergeCell ref="G79:I79"/>
    <mergeCell ref="G73:I73"/>
    <mergeCell ref="D9:F9"/>
    <mergeCell ref="G88:I88"/>
    <mergeCell ref="L100:N100"/>
    <mergeCell ref="J19:M19"/>
    <mergeCell ref="G63:I63"/>
    <mergeCell ref="G50:I50"/>
    <mergeCell ref="G90:I90"/>
    <mergeCell ref="G9:I9"/>
    <mergeCell ref="A69:A73"/>
    <mergeCell ref="G52:I52"/>
    <mergeCell ref="A30:I30"/>
    <mergeCell ref="A84:A88"/>
    <mergeCell ref="G36:I36"/>
    <mergeCell ref="G42:I42"/>
    <mergeCell ref="L97:N97"/>
    <mergeCell ref="A28:B28"/>
    <mergeCell ref="E22:F22"/>
    <mergeCell ref="A9:B9"/>
    <mergeCell ref="G6:I6"/>
    <mergeCell ref="G37:I37"/>
    <mergeCell ref="G69:I69"/>
    <mergeCell ref="E14:F14"/>
    <mergeCell ref="G78:I78"/>
    <mergeCell ref="G92:I92"/>
    <mergeCell ref="J23:M23"/>
    <mergeCell ref="H99:J99"/>
    <mergeCell ref="A2:O2"/>
    <mergeCell ref="A44:A48"/>
    <mergeCell ref="G80:I80"/>
    <mergeCell ref="G55:I55"/>
    <mergeCell ref="G64:I64"/>
    <mergeCell ref="A64:A68"/>
    <mergeCell ref="H101:J101"/>
    <mergeCell ref="G51:I51"/>
    <mergeCell ref="L99:N99"/>
    <mergeCell ref="G54:I54"/>
    <mergeCell ref="G41:I41"/>
    <mergeCell ref="G81:I81"/>
    <mergeCell ref="G56:I56"/>
    <mergeCell ref="A8:B8"/>
    <mergeCell ref="G43:I43"/>
    <mergeCell ref="A100:B100"/>
    <mergeCell ref="G71:I71"/>
    <mergeCell ref="E16:F16"/>
    <mergeCell ref="L101:N101"/>
    <mergeCell ref="E25:F25"/>
    <mergeCell ref="A10:B10"/>
    <mergeCell ref="J20:M20"/>
    <mergeCell ref="G8:I8"/>
    <mergeCell ref="A26:M26"/>
    <mergeCell ref="E18:F18"/>
    <mergeCell ref="G82:I82"/>
    <mergeCell ref="J22:M22"/>
    <mergeCell ref="G10:I10"/>
    <mergeCell ref="G66:I66"/>
    <mergeCell ref="H98:J98"/>
    <mergeCell ref="G53:I53"/>
    <mergeCell ref="G93:I93"/>
    <mergeCell ref="J21:M21"/>
    <mergeCell ref="G34:I34"/>
    <mergeCell ref="G74:I74"/>
    <mergeCell ref="D7:F7"/>
    <mergeCell ref="G68:I68"/>
    <mergeCell ref="G83:I83"/>
    <mergeCell ref="G58:I58"/>
    <mergeCell ref="E20:F20"/>
    <mergeCell ref="G45:I45"/>
    <mergeCell ref="E13:F13"/>
    <mergeCell ref="A59:A63"/>
    <mergeCell ref="F97:J97"/>
    <mergeCell ref="A34:A38"/>
    <mergeCell ref="G47:I47"/>
    <mergeCell ref="A101:D102"/>
    <mergeCell ref="A39:A43"/>
    <mergeCell ref="E15:F15"/>
    <mergeCell ref="G44:I44"/>
    <mergeCell ref="G84:I84"/>
    <mergeCell ref="A79:A83"/>
    <mergeCell ref="G46:I46"/>
    <mergeCell ref="G40:I40"/>
    <mergeCell ref="J24:M24"/>
    <mergeCell ref="G72:I72"/>
    <mergeCell ref="G86:I86"/>
    <mergeCell ref="A54:A58"/>
    <mergeCell ref="C6:E6"/>
    <mergeCell ref="G70:I70"/>
    <mergeCell ref="H102:J102"/>
    <mergeCell ref="A74:A78"/>
    <mergeCell ref="A104:D104"/>
    <mergeCell ref="J16:M16"/>
    <mergeCell ref="J25:M25"/>
    <mergeCell ref="G7:I7"/>
    <mergeCell ref="A89:A93"/>
    <mergeCell ref="E24:F24"/>
    <mergeCell ref="G57:I57"/>
    <mergeCell ref="A4:M4"/>
    <mergeCell ref="G49:I49"/>
    <mergeCell ref="A1:H1"/>
    <mergeCell ref="E17:F17"/>
    <mergeCell ref="A6:B6"/>
    <mergeCell ref="G33:I33"/>
    <mergeCell ref="D28:I28"/>
    <mergeCell ref="E19:F19"/>
    <mergeCell ref="G35:I35"/>
    <mergeCell ref="J14:M14"/>
    <mergeCell ref="G76:I76"/>
    <mergeCell ref="A49:A53"/>
    <mergeCell ref="G91:I91"/>
    <mergeCell ref="G85:I85"/>
    <mergeCell ref="J13:M13"/>
    <mergeCell ref="D29:I29"/>
    <mergeCell ref="G60:I60"/>
    <mergeCell ref="G75:I75"/>
    <mergeCell ref="J15:M15"/>
    <mergeCell ref="G59:I59"/>
    <mergeCell ref="A97:B97"/>
    <mergeCell ref="G77:I77"/>
    <mergeCell ref="D10:F10"/>
    <mergeCell ref="L98:N98"/>
    <mergeCell ref="A29:B29"/>
    <mergeCell ref="G67:I67"/>
    <mergeCell ref="G61:I61"/>
    <mergeCell ref="G39:I39"/>
    <mergeCell ref="G48:I48"/>
    <mergeCell ref="E21:F21"/>
  </mergeCells>
  <conditionalFormatting sqref="B14:B25">
    <cfRule type="expression" priority="1" dxfId="0" stopIfTrue="0">
      <formula>AND(ISNUMBER($C$9),ISNUMBER(B14),B14&lt;$C$9)</formula>
    </cfRule>
  </conditionalFormatting>
  <conditionalFormatting sqref="E14:F25">
    <cfRule type="expression" priority="2" dxfId="0" stopIfTrue="0">
      <formula>$E14&lt;&gt;""</formula>
    </cfRule>
  </conditionalFormatting>
  <conditionalFormatting sqref="D14:D25">
    <cfRule type="expression" priority="3" dxfId="0" stopIfTrue="0">
      <formula>AND(ISNUMBER(D14),ISNUMBER($C$10),D14&gt;=$C$10)</formula>
    </cfRule>
  </conditionalFormatting>
  <conditionalFormatting sqref="I14:I25">
    <cfRule type="expression" priority="4" dxfId="0" stopIfTrue="0">
      <formula>AND(ISNUMBER(I14),I14&gt;0)</formula>
    </cfRule>
  </conditionalFormatting>
  <conditionalFormatting sqref="J9">
    <cfRule type="expression" priority="5" dxfId="0" stopIfTrue="0">
      <formula>AND($J$9&lt;&gt;"-",$J$9&lt;&gt;"Aucune")</formula>
    </cfRule>
  </conditionalFormatting>
  <conditionalFormatting sqref="F34:F93">
    <cfRule type="expression" priority="6" dxfId="0" stopIfTrue="0">
      <formula>$F34="Revient : appeler"</formula>
    </cfRule>
  </conditionalFormatting>
  <conditionalFormatting sqref="O97">
    <cfRule type="expression" priority="7" dxfId="0" stopIfTrue="0">
      <formula>$O$97&gt;0</formula>
    </cfRule>
  </conditionalFormatting>
  <conditionalFormatting sqref="O101">
    <cfRule type="expression" priority="8" dxfId="0" stopIfTrue="0">
      <formula>$O$101&gt;0</formula>
    </cfRule>
  </conditionalFormatting>
  <conditionalFormatting sqref="F113:F122">
    <cfRule type="expression" priority="9" dxfId="0" stopIfTrue="0">
      <formula>$F113="En retard"</formula>
    </cfRule>
  </conditionalFormatting>
  <conditionalFormatting sqref="L113:L122">
    <cfRule type="expression" priority="10" dxfId="0" stopIfTrue="0">
      <formula>$L113&lt;&gt;""</formula>
    </cfRule>
  </conditionalFormatting>
  <conditionalFormatting sqref="K113:K122">
    <cfRule type="expression" priority="11" dxfId="0" stopIfTrue="0">
      <formula>AND(ISNUMBER($K113),$K113&lt;=$C$98)</formula>
    </cfRule>
  </conditionalFormatting>
  <dataValidations count="14">
    <dataValidation sqref="C7" showDropDown="0" showInputMessage="0" showErrorMessage="1" allowBlank="1" errorTitle="Date attendue" error="Saisissez une date (jj/mm/aaaa)." type="date" operator="greaterThanOrEqual">
      <formula1>36526</formula1>
    </dataValidation>
    <dataValidation sqref="C9" showDropDown="0" showInputMessage="0" showErrorMessage="1" allowBlank="1" errorTitle="Montant" error="Saisissez un montant (nombre)." type="decimal" operator="between">
      <formula1>-1000000000000</formula1>
      <formula2>1000000000000</formula2>
    </dataValidation>
    <dataValidation sqref="C10" showDropDown="0" showInputMessage="0" showErrorMessage="1" allowBlank="1" errorTitle="Nombre entier" error="Saisissez un nombre entier de 1 à 52." type="whole" operator="between">
      <formula1>1</formula1>
      <formula2>52</formula2>
    </dataValidation>
    <dataValidation sqref="B14:B25" showDropDown="0" showInputMessage="0" showErrorMessage="1" allowBlank="1" errorTitle="Montant" error="Saisissez un montant (nombre)." type="decimal" operator="between">
      <formula1>-1000000000000</formula1>
      <formula2>1000000000000</formula2>
    </dataValidation>
    <dataValidation sqref="C29" showDropDown="0" showInputMessage="0" showErrorMessage="1" allowBlank="1" errorTitle="Nombre entier" error="Saisissez un nombre entier de 1 à 52." type="whole" operator="between">
      <formula1>1</formula1>
      <formula2>52</formula2>
    </dataValidation>
    <dataValidation sqref="C34:C93" showDropDown="0" showInputMessage="0" showErrorMessage="1" allowBlank="1" errorTitle="Montant positif" error="Saisissez un montant positif." type="decimal" operator="greaterThanOrEqual">
      <formula1>0</formula1>
    </dataValidation>
    <dataValidation sqref="D34:D93" showDropDown="0" showInputMessage="0" showErrorMessage="1" allowBlank="1" errorTitle="Nombre de jours" error="Saisissez un nombre entier de jours (0 ou plus)." type="whole" operator="greaterThanOrEqual">
      <formula1>0</formula1>
    </dataValidation>
    <dataValidation sqref="C97" showDropDown="0" showInputMessage="0" showErrorMessage="1" allowBlank="1" errorTitle="Date attendue" error="Saisissez une date (jj/mm/aaaa)." type="date" operator="greaterThanOrEqual">
      <formula1>36526</formula1>
    </dataValidation>
    <dataValidation sqref="C99" showDropDown="0" showInputMessage="0" showErrorMessage="1" allowBlank="1" errorTitle="Taux annuel" error="Saisissez un pourcentage entre 0 % et 100 %." type="decimal" operator="between">
      <formula1>0</formula1>
      <formula2>1</formula2>
    </dataValidation>
    <dataValidation sqref="C100" showDropDown="0" showInputMessage="0" showErrorMessage="1" allowBlank="1" errorTitle="Montant positif" error="Saisissez un montant positif." type="decimal" operator="greaterThanOrEqual">
      <formula1>0</formula1>
    </dataValidation>
    <dataValidation sqref="G98:G102" showDropDown="0" showInputMessage="0" showErrorMessage="1" allowBlank="1" errorTitle="Nombre de jours" error="Saisissez un nombre entier de jours (négatif = avant l’échéance)." type="whole" operator="between">
      <formula1>-90</formula1>
      <formula2>365</formula2>
    </dataValidation>
    <dataValidation sqref="C113:C122" showDropDown="0" showInputMessage="0" showErrorMessage="1" allowBlank="1" errorTitle="Montant positif" error="Saisissez un montant positif." type="decimal" operator="greaterThanOrEqual">
      <formula1>0</formula1>
    </dataValidation>
    <dataValidation sqref="D113:E122 I113:I122" showDropDown="0" showInputMessage="0" showErrorMessage="1" allowBlank="1" errorTitle="Date attendue" error="Saisissez une date (jj/mm/aaaa)." type="date" operator="greaterThanOrEqual">
      <formula1>36526</formula1>
    </dataValidation>
    <dataValidation sqref="H113:H122" showDropDown="0" showInputMessage="0" showErrorMessage="1" allowBlank="1" errorTitle="Action" error="Choisissez une étape du calendrier de relance." type="list">
      <formula1>$F$98:$F$102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&amp;L&amp;"Arial,Regular"&amp;8 &amp;K57534ETudor Hilcu, par THG Conseil · thgconseil.fr&amp;C&amp;"Arial,Regular"&amp;8 &amp;K57534E&amp;R&amp;"Arial,Regular"&amp;8 &amp;K57534E&amp;P / &amp;N</oddFooter>
    <evenHeader/>
    <evenFooter/>
    <firstHeader/>
    <firstFooter/>
  </headerFooter>
  <rowBreaks count="3" manualBreakCount="3">
    <brk id="25" min="0" max="16383" man="1"/>
    <brk id="73" min="0" max="16383" man="1"/>
    <brk id="9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Tudor Hilcu, THG Conseil</dc:creator>
  <dc:title>La trésorerie sous contrôle</dc:title>
  <dc:subject>Module offert par THG Conseil : la règle du lundi, les retards clients et les relances</dc:subject>
  <dc:language>fr-FR</dc:language>
  <dcterms:created xsi:type="dcterms:W3CDTF">2026-10-08T09:00:00Z</dcterms:created>
  <dcterms:modified xsi:type="dcterms:W3CDTF">2026-10-08T08:16:43Z</dcterms:modified>
  <cp:lastModifiedBy>Tudor Hilcu, THG Conseil</cp:lastModifiedBy>
  <cp:keywords>THG Conseil; thgconseil.fr</cp:keywords>
</cp:coreProperties>
</file>